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!!_ПРОГРАММЫ и СТРАТЕГИИ\!_МП СистОбраз г.Дивногорска_2014-2020\!!_МЦП_2014-2021_Действующая\ИЗМ в МП\2019-10-08_изм МП\"/>
    </mc:Choice>
  </mc:AlternateContent>
  <bookViews>
    <workbookView xWindow="0" yWindow="0" windowWidth="19395" windowHeight="2700" firstSheet="10" activeTab="12"/>
  </bookViews>
  <sheets>
    <sheet name="прил.1 к пасп.МП" sheetId="4" r:id="rId1"/>
    <sheet name="прил.2 к пасп.МП" sheetId="5" r:id="rId2"/>
    <sheet name="прил.1 к МП" sheetId="1" r:id="rId3"/>
    <sheet name="прил.2 к МП" sheetId="2" r:id="rId4"/>
    <sheet name="прил.3 к МП" sheetId="3" r:id="rId5"/>
    <sheet name="прил.1 к пасп.подпрог.1" sheetId="6" r:id="rId6"/>
    <sheet name="прил.2 к пасп. подпрог.1" sheetId="7" r:id="rId7"/>
    <sheet name="прил.1 к пасп.подпрог.2" sheetId="10" r:id="rId8"/>
    <sheet name="прил.2 к пасп.подпрог.2" sheetId="13" r:id="rId9"/>
    <sheet name="прил.1 к пасп.подпрог.3" sheetId="14" r:id="rId10"/>
    <sheet name="прил.2 к пасп.подпрог.3" sheetId="15" r:id="rId11"/>
    <sheet name="прил.1 к пасп.подпрог.4" sheetId="24" r:id="rId12"/>
    <sheet name="прил.2 к пасп.подпрог.4" sheetId="33" r:id="rId13"/>
  </sheets>
  <definedNames>
    <definedName name="_xlnm._FilterDatabase" localSheetId="6" hidden="1">'прил.2 к пасп. подпрог.1'!$A$4:$U$51</definedName>
    <definedName name="_xlnm._FilterDatabase" localSheetId="8" hidden="1">'прил.2 к пасп.подпрог.2'!$A$1:$U$104</definedName>
    <definedName name="_xlnm._FilterDatabase" localSheetId="10" hidden="1">'прил.2 к пасп.подпрог.3'!$A$4:$S$35</definedName>
    <definedName name="Z_2166B299_1DBB_4BE8_98C9_E9EFB21DCA26_.wvu.FilterData" localSheetId="6" hidden="1">'прил.2 к пасп. подпрог.1'!$A$4:$U$51</definedName>
    <definedName name="Z_2166B299_1DBB_4BE8_98C9_E9EFB21DCA26_.wvu.FilterData" localSheetId="8" hidden="1">'прил.2 к пасп.подпрог.2'!$A$4:$U$104</definedName>
    <definedName name="Z_2166B299_1DBB_4BE8_98C9_E9EFB21DCA26_.wvu.FilterData" localSheetId="10" hidden="1">'прил.2 к пасп.подпрог.3'!$A$4:$S$35</definedName>
    <definedName name="Z_2715DACA_7FC2_4162_875B_92B3FB82D8B1_.wvu.FilterData" localSheetId="6" hidden="1">'прил.2 к пасп. подпрог.1'!$A$4:$U$51</definedName>
    <definedName name="Z_2715DACA_7FC2_4162_875B_92B3FB82D8B1_.wvu.FilterData" localSheetId="8" hidden="1">'прил.2 к пасп.подпрог.2'!$A$4:$U$104</definedName>
    <definedName name="Z_2715DACA_7FC2_4162_875B_92B3FB82D8B1_.wvu.FilterData" localSheetId="10" hidden="1">'прил.2 к пасп.подпрог.3'!$A$4:$S$35</definedName>
    <definedName name="Z_29BFB567_1C85_481C_A8AF_8210D8E0792F_.wvu.FilterData" localSheetId="6" hidden="1">'прил.2 к пасп. подпрог.1'!$A$4:$U$51</definedName>
    <definedName name="Z_29BFB567_1C85_481C_A8AF_8210D8E0792F_.wvu.FilterData" localSheetId="8" hidden="1">'прил.2 к пасп.подпрог.2'!$A$4:$U$104</definedName>
    <definedName name="Z_29BFB567_1C85_481C_A8AF_8210D8E0792F_.wvu.FilterData" localSheetId="10" hidden="1">'прил.2 к пасп.подпрог.3'!$A$4:$S$35</definedName>
    <definedName name="Z_4767DD30_F6FB_4FF0_A429_8866A8232500_.wvu.Cols" localSheetId="0" hidden="1">'прил.1 к пасп.МП'!$F:$F</definedName>
    <definedName name="Z_4767DD30_F6FB_4FF0_A429_8866A8232500_.wvu.Cols" localSheetId="5" hidden="1">'прил.1 к пасп.подпрог.1'!$D:$D</definedName>
    <definedName name="Z_4767DD30_F6FB_4FF0_A429_8866A8232500_.wvu.Cols" localSheetId="7" hidden="1">'прил.1 к пасп.подпрог.2'!$D:$D</definedName>
    <definedName name="Z_4767DD30_F6FB_4FF0_A429_8866A8232500_.wvu.Cols" localSheetId="9" hidden="1">'прил.1 к пасп.подпрог.3'!$C:$C</definedName>
    <definedName name="Z_4767DD30_F6FB_4FF0_A429_8866A8232500_.wvu.Cols" localSheetId="1" hidden="1">'прил.2 к пасп.МП'!$D:$E</definedName>
    <definedName name="Z_4767DD30_F6FB_4FF0_A429_8866A8232500_.wvu.FilterData" localSheetId="6" hidden="1">'прил.2 к пасп. подпрог.1'!$A$4:$U$51</definedName>
    <definedName name="Z_4767DD30_F6FB_4FF0_A429_8866A8232500_.wvu.FilterData" localSheetId="8" hidden="1">'прил.2 к пасп.подпрог.2'!$A$4:$U$104</definedName>
    <definedName name="Z_4767DD30_F6FB_4FF0_A429_8866A8232500_.wvu.FilterData" localSheetId="10" hidden="1">'прил.2 к пасп.подпрог.3'!$A$4:$S$35</definedName>
    <definedName name="Z_4767DD30_F6FB_4FF0_A429_8866A8232500_.wvu.PrintArea" localSheetId="0" hidden="1">'прил.1 к пасп.МП'!$A$1:$M$76</definedName>
    <definedName name="Z_4767DD30_F6FB_4FF0_A429_8866A8232500_.wvu.PrintArea" localSheetId="5" hidden="1">'прил.1 к пасп.подпрог.1'!$A$1:$J$13</definedName>
    <definedName name="Z_4767DD30_F6FB_4FF0_A429_8866A8232500_.wvu.PrintArea" localSheetId="7" hidden="1">'прил.1 к пасп.подпрог.2'!$A$1:$J$31</definedName>
    <definedName name="Z_4767DD30_F6FB_4FF0_A429_8866A8232500_.wvu.PrintArea" localSheetId="9" hidden="1">'прил.1 к пасп.подпрог.3'!$A$1:$H$5</definedName>
    <definedName name="Z_4767DD30_F6FB_4FF0_A429_8866A8232500_.wvu.PrintArea" localSheetId="11" hidden="1">'прил.1 к пасп.подпрог.4'!$A$1:$K$33</definedName>
    <definedName name="Z_4767DD30_F6FB_4FF0_A429_8866A8232500_.wvu.PrintArea" localSheetId="3" hidden="1">'прил.2 к МП'!$A$1:$M$30</definedName>
    <definedName name="Z_4767DD30_F6FB_4FF0_A429_8866A8232500_.wvu.PrintArea" localSheetId="6" hidden="1">'прил.2 к пасп. подпрог.1'!$A$1:$R$57</definedName>
    <definedName name="Z_4767DD30_F6FB_4FF0_A429_8866A8232500_.wvu.PrintArea" localSheetId="1" hidden="1">'прил.2 к пасп.МП'!$A$1:$Q$10</definedName>
    <definedName name="Z_4767DD30_F6FB_4FF0_A429_8866A8232500_.wvu.PrintArea" localSheetId="8" hidden="1">'прил.2 к пасп.подпрог.2'!$A$1:$R$101</definedName>
    <definedName name="Z_4767DD30_F6FB_4FF0_A429_8866A8232500_.wvu.PrintArea" localSheetId="10" hidden="1">'прил.2 к пасп.подпрог.3'!$A$1:$R$40</definedName>
    <definedName name="Z_4767DD30_F6FB_4FF0_A429_8866A8232500_.wvu.PrintArea" localSheetId="12" hidden="1">'прил.2 к пасп.подпрог.4'!$A$1:$R$47</definedName>
    <definedName name="Z_4767DD30_F6FB_4FF0_A429_8866A8232500_.wvu.PrintArea" localSheetId="4" hidden="1">'прил.3 к МП'!$A$1:$O$15</definedName>
    <definedName name="Z_4767DD30_F6FB_4FF0_A429_8866A8232500_.wvu.PrintTitles" localSheetId="0" hidden="1">'прил.1 к пасп.МП'!$3:$5</definedName>
    <definedName name="Z_4767DD30_F6FB_4FF0_A429_8866A8232500_.wvu.PrintTitles" localSheetId="5" hidden="1">'прил.1 к пасп.подпрог.1'!$3:$5</definedName>
    <definedName name="Z_4767DD30_F6FB_4FF0_A429_8866A8232500_.wvu.PrintTitles" localSheetId="7" hidden="1">'прил.1 к пасп.подпрог.2'!$3:$5</definedName>
    <definedName name="Z_4767DD30_F6FB_4FF0_A429_8866A8232500_.wvu.PrintTitles" localSheetId="9" hidden="1">'прил.1 к пасп.подпрог.3'!#REF!</definedName>
    <definedName name="Z_4767DD30_F6FB_4FF0_A429_8866A8232500_.wvu.PrintTitles" localSheetId="3" hidden="1">'прил.2 к МП'!$3:$4</definedName>
    <definedName name="Z_4767DD30_F6FB_4FF0_A429_8866A8232500_.wvu.PrintTitles" localSheetId="6" hidden="1">'прил.2 к пасп. подпрог.1'!$3:$4</definedName>
    <definedName name="Z_4767DD30_F6FB_4FF0_A429_8866A8232500_.wvu.PrintTitles" localSheetId="1" hidden="1">'прил.2 к пасп.МП'!$3:$4</definedName>
    <definedName name="Z_4767DD30_F6FB_4FF0_A429_8866A8232500_.wvu.PrintTitles" localSheetId="8" hidden="1">'прил.2 к пасп.подпрог.2'!$3:$4</definedName>
    <definedName name="Z_4767DD30_F6FB_4FF0_A429_8866A8232500_.wvu.PrintTitles" localSheetId="10" hidden="1">'прил.2 к пасп.подпрог.3'!$3:$4</definedName>
    <definedName name="Z_4767DD30_F6FB_4FF0_A429_8866A8232500_.wvu.PrintTitles" localSheetId="12" hidden="1">'прил.2 к пасп.подпрог.4'!$3:$4</definedName>
    <definedName name="Z_4767DD30_F6FB_4FF0_A429_8866A8232500_.wvu.PrintTitles" localSheetId="4" hidden="1">'прил.3 к МП'!$3:$4</definedName>
    <definedName name="Z_4767DD30_F6FB_4FF0_A429_8866A8232500_.wvu.Rows" localSheetId="6" hidden="1">'прил.2 к пасп. подпрог.1'!#REF!,'прил.2 к пасп. подпрог.1'!#REF!,'прил.2 к пасп. подпрог.1'!#REF!,'прил.2 к пасп. подпрог.1'!#REF!,'прил.2 к пасп. подпрог.1'!#REF!,'прил.2 к пасп. подпрог.1'!#REF!,'прил.2 к пасп. подпрог.1'!#REF!,'прил.2 к пасп. подпрог.1'!#REF!,'прил.2 к пасп. подпрог.1'!#REF!</definedName>
    <definedName name="Z_4767DD30_F6FB_4FF0_A429_8866A8232500_.wvu.Rows" localSheetId="8" hidden="1">'прил.2 к пасп.подпрог.2'!#REF!,'прил.2 к пасп.подпрог.2'!#REF!,'прил.2 к пасп.подпрог.2'!#REF!,'прил.2 к пасп.подпрог.2'!$72:$72,'прил.2 к пасп.подпрог.2'!#REF!,'прил.2 к пасп.подпрог.2'!#REF!,'прил.2 к пасп.подпрог.2'!#REF!,'прил.2 к пасп.подпрог.2'!#REF!,'прил.2 к пасп.подпрог.2'!#REF!</definedName>
    <definedName name="Z_4767DD30_F6FB_4FF0_A429_8866A8232500_.wvu.Rows" localSheetId="10" hidden="1">'прил.2 к пасп.подпрог.3'!#REF!,'прил.2 к пасп.подпрог.3'!#REF!,'прил.2 к пасп.подпрог.3'!$6:$6,'прил.2 к пасп.подпрог.3'!#REF!,'прил.2 к пасп.подпрог.3'!#REF!,'прил.2 к пасп.подпрог.3'!#REF!,'прил.2 к пасп.подпрог.3'!#REF!,'прил.2 к пасп.подпрог.3'!#REF!,'прил.2 к пасп.подпрог.3'!#REF!</definedName>
    <definedName name="Z_4767DD30_F6FB_4FF0_A429_8866A8232500_.wvu.Rows" localSheetId="12" hidden="1">'прил.2 к пасп.подпрог.4'!#REF!,'прил.2 к пасп.подпрог.4'!#REF!</definedName>
    <definedName name="Z_484BD7FD_1D3D_4528_954E_A98D5B59AC9C_.wvu.FilterData" localSheetId="6" hidden="1">'прил.2 к пасп. подпрог.1'!$A$4:$U$51</definedName>
    <definedName name="Z_484BD7FD_1D3D_4528_954E_A98D5B59AC9C_.wvu.FilterData" localSheetId="8" hidden="1">'прил.2 к пасп.подпрог.2'!$A$4:$U$104</definedName>
    <definedName name="Z_484BD7FD_1D3D_4528_954E_A98D5B59AC9C_.wvu.FilterData" localSheetId="10" hidden="1">'прил.2 к пасп.подпрог.3'!$A$4:$S$35</definedName>
    <definedName name="Z_7C917F30_361A_4C86_9002_2134EAE2E3CF_.wvu.Cols" localSheetId="5" hidden="1">'прил.1 к пасп.подпрог.1'!$D:$D</definedName>
    <definedName name="Z_7C917F30_361A_4C86_9002_2134EAE2E3CF_.wvu.Cols" localSheetId="7" hidden="1">'прил.1 к пасп.подпрог.2'!$D:$D</definedName>
    <definedName name="Z_7C917F30_361A_4C86_9002_2134EAE2E3CF_.wvu.Cols" localSheetId="9" hidden="1">'прил.1 к пасп.подпрог.3'!$C:$C</definedName>
    <definedName name="Z_7C917F30_361A_4C86_9002_2134EAE2E3CF_.wvu.FilterData" localSheetId="6" hidden="1">'прил.2 к пасп. подпрог.1'!$A$4:$U$51</definedName>
    <definedName name="Z_7C917F30_361A_4C86_9002_2134EAE2E3CF_.wvu.FilterData" localSheetId="8" hidden="1">'прил.2 к пасп.подпрог.2'!$A$4:$U$104</definedName>
    <definedName name="Z_7C917F30_361A_4C86_9002_2134EAE2E3CF_.wvu.FilterData" localSheetId="10" hidden="1">'прил.2 к пасп.подпрог.3'!$A$4:$S$35</definedName>
    <definedName name="Z_7C917F30_361A_4C86_9002_2134EAE2E3CF_.wvu.PrintArea" localSheetId="5" hidden="1">'прил.1 к пасп.подпрог.1'!$A$1:$J$13</definedName>
    <definedName name="Z_7C917F30_361A_4C86_9002_2134EAE2E3CF_.wvu.PrintArea" localSheetId="7" hidden="1">'прил.1 к пасп.подпрог.2'!$A$1:$J$31</definedName>
    <definedName name="Z_7C917F30_361A_4C86_9002_2134EAE2E3CF_.wvu.PrintArea" localSheetId="9" hidden="1">'прил.1 к пасп.подпрог.3'!$A$1:$H$5</definedName>
    <definedName name="Z_7C917F30_361A_4C86_9002_2134EAE2E3CF_.wvu.PrintArea" localSheetId="11" hidden="1">'прил.1 к пасп.подпрог.4'!$A$1:$K$33</definedName>
    <definedName name="Z_7C917F30_361A_4C86_9002_2134EAE2E3CF_.wvu.PrintArea" localSheetId="3" hidden="1">'прил.2 к МП'!$A$1:$M$30</definedName>
    <definedName name="Z_7C917F30_361A_4C86_9002_2134EAE2E3CF_.wvu.PrintArea" localSheetId="6" hidden="1">'прил.2 к пасп. подпрог.1'!$A$1:$R$57</definedName>
    <definedName name="Z_7C917F30_361A_4C86_9002_2134EAE2E3CF_.wvu.PrintArea" localSheetId="8" hidden="1">'прил.2 к пасп.подпрог.2'!$A$1:$R$101</definedName>
    <definedName name="Z_7C917F30_361A_4C86_9002_2134EAE2E3CF_.wvu.PrintArea" localSheetId="10" hidden="1">'прил.2 к пасп.подпрог.3'!$A$1:$R$40</definedName>
    <definedName name="Z_7C917F30_361A_4C86_9002_2134EAE2E3CF_.wvu.PrintArea" localSheetId="4" hidden="1">'прил.3 к МП'!$A$1:$O$15</definedName>
    <definedName name="Z_7C917F30_361A_4C86_9002_2134EAE2E3CF_.wvu.PrintTitles" localSheetId="5" hidden="1">'прил.1 к пасп.подпрог.1'!$3:$5</definedName>
    <definedName name="Z_7C917F30_361A_4C86_9002_2134EAE2E3CF_.wvu.PrintTitles" localSheetId="7" hidden="1">'прил.1 к пасп.подпрог.2'!$3:$5</definedName>
    <definedName name="Z_7C917F30_361A_4C86_9002_2134EAE2E3CF_.wvu.PrintTitles" localSheetId="9" hidden="1">'прил.1 к пасп.подпрог.3'!#REF!</definedName>
    <definedName name="Z_7C917F30_361A_4C86_9002_2134EAE2E3CF_.wvu.PrintTitles" localSheetId="3" hidden="1">'прил.2 к МП'!$3:$4</definedName>
    <definedName name="Z_7C917F30_361A_4C86_9002_2134EAE2E3CF_.wvu.PrintTitles" localSheetId="6" hidden="1">'прил.2 к пасп. подпрог.1'!$3:$4</definedName>
    <definedName name="Z_7C917F30_361A_4C86_9002_2134EAE2E3CF_.wvu.PrintTitles" localSheetId="8" hidden="1">'прил.2 к пасп.подпрог.2'!$3:$4</definedName>
    <definedName name="Z_7C917F30_361A_4C86_9002_2134EAE2E3CF_.wvu.PrintTitles" localSheetId="10" hidden="1">'прил.2 к пасп.подпрог.3'!$3:$4</definedName>
    <definedName name="Z_7C917F30_361A_4C86_9002_2134EAE2E3CF_.wvu.PrintTitles" localSheetId="12" hidden="1">'прил.2 к пасп.подпрог.4'!$3:$4</definedName>
    <definedName name="Z_7C917F30_361A_4C86_9002_2134EAE2E3CF_.wvu.PrintTitles" localSheetId="4" hidden="1">'прил.3 к МП'!$3:$4</definedName>
    <definedName name="Z_7C917F30_361A_4C86_9002_2134EAE2E3CF_.wvu.Rows" localSheetId="6" hidden="1">'прил.2 к пасп. подпрог.1'!#REF!,'прил.2 к пасп. подпрог.1'!#REF!,'прил.2 к пасп. подпрог.1'!#REF!,'прил.2 к пасп. подпрог.1'!#REF!,'прил.2 к пасп. подпрог.1'!#REF!,'прил.2 к пасп. подпрог.1'!#REF!,'прил.2 к пасп. подпрог.1'!#REF!,'прил.2 к пасп. подпрог.1'!#REF!,'прил.2 к пасп. подпрог.1'!#REF!,'прил.2 к пасп. подпрог.1'!#REF!,'прил.2 к пасп. подпрог.1'!#REF!,'прил.2 к пасп. подпрог.1'!#REF!</definedName>
    <definedName name="Z_7C917F30_361A_4C86_9002_2134EAE2E3CF_.wvu.Rows" localSheetId="8" hidden="1">'прил.2 к пасп.подпрог.2'!#REF!,'прил.2 к пасп.подпрог.2'!#REF!,'прил.2 к пасп.подпрог.2'!#REF!,'прил.2 к пасп.подпрог.2'!#REF!,'прил.2 к пасп.подпрог.2'!#REF!,'прил.2 к пасп.подпрог.2'!#REF!,'прил.2 к пасп.подпрог.2'!#REF!,'прил.2 к пасп.подпрог.2'!#REF!,'прил.2 к пасп.подпрог.2'!#REF!,'прил.2 к пасп.подпрог.2'!#REF!,'прил.2 к пасп.подпрог.2'!#REF!,'прил.2 к пасп.подпрог.2'!#REF!</definedName>
    <definedName name="Z_7C917F30_361A_4C86_9002_2134EAE2E3CF_.wvu.Rows" localSheetId="10" hidden="1">'прил.2 к пасп.подпрог.3'!#REF!,'прил.2 к пасп.подпрог.3'!#REF!,'прил.2 к пасп.подпрог.3'!#REF!,'прил.2 к пасп.подпрог.3'!#REF!,'прил.2 к пасп.подпрог.3'!#REF!,'прил.2 к пасп.подпрог.3'!#REF!,'прил.2 к пасп.подпрог.3'!#REF!,'прил.2 к пасп.подпрог.3'!#REF!,'прил.2 к пасп.подпрог.3'!#REF!,'прил.2 к пасп.подпрог.3'!#REF!,'прил.2 к пасп.подпрог.3'!#REF!,'прил.2 к пасп.подпрог.3'!#REF!</definedName>
    <definedName name="Z_7C917F30_361A_4C86_9002_2134EAE2E3CF_.wvu.Rows" localSheetId="12" hidden="1">'прил.2 к пасп.подпрог.4'!#REF!,'прил.2 к пасп.подпрог.4'!#REF!</definedName>
    <definedName name="Z_81F2AFB8_21DA_4513_90AB_0A09D7D72D56_.wvu.FilterData" localSheetId="6" hidden="1">'прил.2 к пасп. подпрог.1'!$A$4:$U$51</definedName>
    <definedName name="Z_81F2AFB8_21DA_4513_90AB_0A09D7D72D56_.wvu.FilterData" localSheetId="8" hidden="1">'прил.2 к пасп.подпрог.2'!$A$4:$U$104</definedName>
    <definedName name="Z_81F2AFB8_21DA_4513_90AB_0A09D7D72D56_.wvu.FilterData" localSheetId="10" hidden="1">'прил.2 к пасп.подпрог.3'!$A$4:$S$35</definedName>
    <definedName name="Z_AD6F79BD_847B_4421_A1AA_268A55FACAB4_.wvu.FilterData" localSheetId="6" hidden="1">'прил.2 к пасп. подпрог.1'!$A$4:$U$51</definedName>
    <definedName name="Z_AD6F79BD_847B_4421_A1AA_268A55FACAB4_.wvu.FilterData" localSheetId="8" hidden="1">'прил.2 к пасп.подпрог.2'!$A$4:$U$104</definedName>
    <definedName name="Z_AD6F79BD_847B_4421_A1AA_268A55FACAB4_.wvu.FilterData" localSheetId="10" hidden="1">'прил.2 к пасп.подпрог.3'!$A$4:$S$35</definedName>
    <definedName name="Z_B45C2115_52AF_4E7B_8578_551FB3CF371E_.wvu.FilterData" localSheetId="6" hidden="1">'прил.2 к пасп. подпрог.1'!$A$4:$U$51</definedName>
    <definedName name="Z_B45C2115_52AF_4E7B_8578_551FB3CF371E_.wvu.FilterData" localSheetId="8" hidden="1">'прил.2 к пасп.подпрог.2'!$A$4:$U$104</definedName>
    <definedName name="Z_B45C2115_52AF_4E7B_8578_551FB3CF371E_.wvu.FilterData" localSheetId="10" hidden="1">'прил.2 к пасп.подпрог.3'!$A$4:$S$35</definedName>
    <definedName name="Z_C75D4C66_EC35_48DB_8FCD_E29923CDB091_.wvu.FilterData" localSheetId="6" hidden="1">'прил.2 к пасп. подпрог.1'!$A$4:$U$51</definedName>
    <definedName name="Z_C75D4C66_EC35_48DB_8FCD_E29923CDB091_.wvu.FilterData" localSheetId="8" hidden="1">'прил.2 к пасп.подпрог.2'!$A$4:$U$104</definedName>
    <definedName name="Z_C75D4C66_EC35_48DB_8FCD_E29923CDB091_.wvu.FilterData" localSheetId="10" hidden="1">'прил.2 к пасп.подпрог.3'!$A$4:$S$35</definedName>
    <definedName name="Z_CDE1D6F6_68DF_42F8_B01A_FF6465B24CCD_.wvu.Cols" localSheetId="5" hidden="1">'прил.1 к пасп.подпрог.1'!$D:$D</definedName>
    <definedName name="Z_CDE1D6F6_68DF_42F8_B01A_FF6465B24CCD_.wvu.Cols" localSheetId="7" hidden="1">'прил.1 к пасп.подпрог.2'!$D:$D</definedName>
    <definedName name="Z_CDE1D6F6_68DF_42F8_B01A_FF6465B24CCD_.wvu.Cols" localSheetId="9" hidden="1">'прил.1 к пасп.подпрог.3'!$C:$C</definedName>
    <definedName name="Z_CDE1D6F6_68DF_42F8_B01A_FF6465B24CCD_.wvu.FilterData" localSheetId="6" hidden="1">'прил.2 к пасп. подпрог.1'!$A$4:$U$51</definedName>
    <definedName name="Z_CDE1D6F6_68DF_42F8_B01A_FF6465B24CCD_.wvu.FilterData" localSheetId="8" hidden="1">'прил.2 к пасп.подпрог.2'!$A$4:$U$104</definedName>
    <definedName name="Z_CDE1D6F6_68DF_42F8_B01A_FF6465B24CCD_.wvu.FilterData" localSheetId="10" hidden="1">'прил.2 к пасп.подпрог.3'!$A$4:$S$35</definedName>
    <definedName name="Z_CDE1D6F6_68DF_42F8_B01A_FF6465B24CCD_.wvu.PrintArea" localSheetId="5" hidden="1">'прил.1 к пасп.подпрог.1'!$A$1:$J$13</definedName>
    <definedName name="Z_CDE1D6F6_68DF_42F8_B01A_FF6465B24CCD_.wvu.PrintArea" localSheetId="7" hidden="1">'прил.1 к пасп.подпрог.2'!$A$1:$J$31</definedName>
    <definedName name="Z_CDE1D6F6_68DF_42F8_B01A_FF6465B24CCD_.wvu.PrintArea" localSheetId="9" hidden="1">'прил.1 к пасп.подпрог.3'!$A$1:$H$5</definedName>
    <definedName name="Z_CDE1D6F6_68DF_42F8_B01A_FF6465B24CCD_.wvu.PrintArea" localSheetId="11" hidden="1">'прил.1 к пасп.подпрог.4'!$A$1:$K$33</definedName>
    <definedName name="Z_CDE1D6F6_68DF_42F8_B01A_FF6465B24CCD_.wvu.PrintArea" localSheetId="3" hidden="1">'прил.2 к МП'!$A$1:$M$30</definedName>
    <definedName name="Z_CDE1D6F6_68DF_42F8_B01A_FF6465B24CCD_.wvu.PrintArea" localSheetId="6" hidden="1">'прил.2 к пасп. подпрог.1'!$A$1:$R$57</definedName>
    <definedName name="Z_CDE1D6F6_68DF_42F8_B01A_FF6465B24CCD_.wvu.PrintArea" localSheetId="8" hidden="1">'прил.2 к пасп.подпрог.2'!$A$1:$R$101</definedName>
    <definedName name="Z_CDE1D6F6_68DF_42F8_B01A_FF6465B24CCD_.wvu.PrintArea" localSheetId="10" hidden="1">'прил.2 к пасп.подпрог.3'!$A$1:$R$40</definedName>
    <definedName name="Z_CDE1D6F6_68DF_42F8_B01A_FF6465B24CCD_.wvu.PrintArea" localSheetId="12" hidden="1">'прил.2 к пасп.подпрог.4'!$A$1:$R$47</definedName>
    <definedName name="Z_CDE1D6F6_68DF_42F8_B01A_FF6465B24CCD_.wvu.PrintArea" localSheetId="4" hidden="1">'прил.3 к МП'!$A$1:$O$15</definedName>
    <definedName name="Z_CDE1D6F6_68DF_42F8_B01A_FF6465B24CCD_.wvu.PrintTitles" localSheetId="5" hidden="1">'прил.1 к пасп.подпрог.1'!$3:$5</definedName>
    <definedName name="Z_CDE1D6F6_68DF_42F8_B01A_FF6465B24CCD_.wvu.PrintTitles" localSheetId="7" hidden="1">'прил.1 к пасп.подпрог.2'!$3:$5</definedName>
    <definedName name="Z_CDE1D6F6_68DF_42F8_B01A_FF6465B24CCD_.wvu.PrintTitles" localSheetId="9" hidden="1">'прил.1 к пасп.подпрог.3'!#REF!</definedName>
    <definedName name="Z_CDE1D6F6_68DF_42F8_B01A_FF6465B24CCD_.wvu.PrintTitles" localSheetId="3" hidden="1">'прил.2 к МП'!$3:$4</definedName>
    <definedName name="Z_CDE1D6F6_68DF_42F8_B01A_FF6465B24CCD_.wvu.PrintTitles" localSheetId="6" hidden="1">'прил.2 к пасп. подпрог.1'!$3:$4</definedName>
    <definedName name="Z_CDE1D6F6_68DF_42F8_B01A_FF6465B24CCD_.wvu.PrintTitles" localSheetId="8" hidden="1">'прил.2 к пасп.подпрог.2'!$3:$4</definedName>
    <definedName name="Z_CDE1D6F6_68DF_42F8_B01A_FF6465B24CCD_.wvu.PrintTitles" localSheetId="10" hidden="1">'прил.2 к пасп.подпрог.3'!$3:$4</definedName>
    <definedName name="Z_CDE1D6F6_68DF_42F8_B01A_FF6465B24CCD_.wvu.PrintTitles" localSheetId="12" hidden="1">'прил.2 к пасп.подпрог.4'!$3:$4</definedName>
    <definedName name="Z_CDE1D6F6_68DF_42F8_B01A_FF6465B24CCD_.wvu.PrintTitles" localSheetId="4" hidden="1">'прил.3 к МП'!$3:$4</definedName>
    <definedName name="Z_CDE1D6F6_68DF_42F8_B01A_FF6465B24CCD_.wvu.Rows" localSheetId="12" hidden="1">'прил.2 к пасп.подпрог.4'!#REF!,'прил.2 к пасп.подпрог.4'!#REF!</definedName>
    <definedName name="Z_D97B14A5_4ECD_4EB7_B8A7_D41E462F19A2_.wvu.FilterData" localSheetId="6" hidden="1">'прил.2 к пасп. подпрог.1'!$A$4:$U$51</definedName>
    <definedName name="Z_D97B14A5_4ECD_4EB7_B8A7_D41E462F19A2_.wvu.FilterData" localSheetId="8" hidden="1">'прил.2 к пасп.подпрог.2'!$A$4:$U$104</definedName>
    <definedName name="Z_D97B14A5_4ECD_4EB7_B8A7_D41E462F19A2_.wvu.FilterData" localSheetId="10" hidden="1">'прил.2 к пасп.подпрог.3'!$A$4:$S$35</definedName>
    <definedName name="Z_FAC3C627_8E23_41AB_B3FB_95B33614D8DB_.wvu.FilterData" localSheetId="6" hidden="1">'прил.2 к пасп. подпрог.1'!$A$4:$U$51</definedName>
    <definedName name="Z_FAC3C627_8E23_41AB_B3FB_95B33614D8DB_.wvu.FilterData" localSheetId="8" hidden="1">'прил.2 к пасп.подпрог.2'!$A$4:$U$104</definedName>
    <definedName name="Z_FAC3C627_8E23_41AB_B3FB_95B33614D8DB_.wvu.FilterData" localSheetId="10" hidden="1">'прил.2 к пасп.подпрог.3'!$A$4:$S$35</definedName>
    <definedName name="_xlnm.Print_Titles" localSheetId="0">'прил.1 к пасп.МП'!$3:$5</definedName>
    <definedName name="_xlnm.Print_Titles" localSheetId="5">'прил.1 к пасп.подпрог.1'!$3:$5</definedName>
    <definedName name="_xlnm.Print_Titles" localSheetId="7">'прил.1 к пасп.подпрог.2'!$3:$5</definedName>
    <definedName name="_xlnm.Print_Titles" localSheetId="9">'прил.1 к пасп.подпрог.3'!#REF!</definedName>
    <definedName name="_xlnm.Print_Titles" localSheetId="3">'прил.2 к МП'!$3:$4</definedName>
    <definedName name="_xlnm.Print_Titles" localSheetId="6">'прил.2 к пасп. подпрог.1'!$3:$4</definedName>
    <definedName name="_xlnm.Print_Titles" localSheetId="1">'прил.2 к пасп.МП'!$3:$4</definedName>
    <definedName name="_xlnm.Print_Titles" localSheetId="8">'прил.2 к пасп.подпрог.2'!$3:$4</definedName>
    <definedName name="_xlnm.Print_Titles" localSheetId="10">'прил.2 к пасп.подпрог.3'!$3:$4</definedName>
    <definedName name="_xlnm.Print_Titles" localSheetId="12">'прил.2 к пасп.подпрог.4'!$3:$4</definedName>
    <definedName name="_xlnm.Print_Titles" localSheetId="4">'прил.3 к МП'!$3:$4</definedName>
    <definedName name="_xlnm.Print_Area" localSheetId="0">'прил.1 к пасп.МП'!$A$1:$N$76</definedName>
    <definedName name="_xlnm.Print_Area" localSheetId="5">'прил.1 к пасп.подпрог.1'!$A$1:$M$13</definedName>
    <definedName name="_xlnm.Print_Area" localSheetId="7">'прил.1 к пасп.подпрог.2'!$A$1:$M$31</definedName>
    <definedName name="_xlnm.Print_Area" localSheetId="9">'прил.1 к пасп.подпрог.3'!$A$1:$N$14</definedName>
    <definedName name="_xlnm.Print_Area" localSheetId="11">'прил.1 к пасп.подпрог.4'!$A$1:$M$29</definedName>
    <definedName name="_xlnm.Print_Area" localSheetId="3">'прил.2 к МП'!$A$1:$M$30</definedName>
    <definedName name="_xlnm.Print_Area" localSheetId="1">'прил.2 к пасп.МП'!$A$1:$Q$10</definedName>
    <definedName name="_xlnm.Print_Area" localSheetId="8">'прил.2 к пасп.подпрог.2'!$A$1:$R$101</definedName>
    <definedName name="_xlnm.Print_Area" localSheetId="10">'прил.2 к пасп.подпрог.3'!$A$1:$R$40</definedName>
    <definedName name="_xlnm.Print_Area" localSheetId="12">'прил.2 к пасп.подпрог.4'!$A$1:$R$47</definedName>
    <definedName name="_xlnm.Print_Area" localSheetId="4">'прил.3 к МП'!$A$1:$Q$36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3" i="33" l="1"/>
  <c r="O45" i="33" s="1"/>
  <c r="P45" i="33" s="1"/>
  <c r="N43" i="33"/>
  <c r="N45" i="33" s="1"/>
  <c r="M43" i="33"/>
  <c r="M45" i="33" s="1"/>
  <c r="L43" i="33"/>
  <c r="L45" i="33" s="1"/>
  <c r="J43" i="33"/>
  <c r="J45" i="33" s="1"/>
  <c r="I43" i="33"/>
  <c r="I45" i="33" s="1"/>
  <c r="H43" i="33"/>
  <c r="P42" i="33"/>
  <c r="K42" i="33"/>
  <c r="K43" i="33" s="1"/>
  <c r="K45" i="33" s="1"/>
  <c r="P41" i="33"/>
  <c r="Q41" i="33" s="1"/>
  <c r="P40" i="33"/>
  <c r="Q40" i="33" s="1"/>
  <c r="P39" i="33"/>
  <c r="Q39" i="33" s="1"/>
  <c r="Q38" i="33"/>
  <c r="P38" i="33"/>
  <c r="P37" i="33"/>
  <c r="Q37" i="33" s="1"/>
  <c r="Q34" i="33"/>
  <c r="P34" i="33"/>
  <c r="P33" i="33"/>
  <c r="Q33" i="33" s="1"/>
  <c r="Q32" i="33"/>
  <c r="P32" i="33"/>
  <c r="P31" i="33"/>
  <c r="Q31" i="33" s="1"/>
  <c r="Q30" i="33"/>
  <c r="P30" i="33"/>
  <c r="P29" i="33"/>
  <c r="Q29" i="33" s="1"/>
  <c r="Q28" i="33"/>
  <c r="P28" i="33"/>
  <c r="P27" i="33"/>
  <c r="Q27" i="33" s="1"/>
  <c r="Q26" i="33"/>
  <c r="P26" i="33"/>
  <c r="P25" i="33"/>
  <c r="Q25" i="33" s="1"/>
  <c r="Q24" i="33"/>
  <c r="P24" i="33"/>
  <c r="P23" i="33"/>
  <c r="Q23" i="33" s="1"/>
  <c r="Q22" i="33"/>
  <c r="P22" i="33"/>
  <c r="P21" i="33"/>
  <c r="M21" i="33"/>
  <c r="Q21" i="33" s="1"/>
  <c r="P20" i="33"/>
  <c r="O20" i="33"/>
  <c r="O35" i="33" s="1"/>
  <c r="N20" i="33"/>
  <c r="N35" i="33" s="1"/>
  <c r="M20" i="33"/>
  <c r="K20" i="33"/>
  <c r="J20" i="33"/>
  <c r="J35" i="33" s="1"/>
  <c r="I20" i="33"/>
  <c r="I35" i="33" s="1"/>
  <c r="H20" i="33"/>
  <c r="P19" i="33"/>
  <c r="M19" i="33"/>
  <c r="P18" i="33"/>
  <c r="Q18" i="33" s="1"/>
  <c r="Q17" i="33"/>
  <c r="P17" i="33"/>
  <c r="P16" i="33"/>
  <c r="L16" i="33"/>
  <c r="Q16" i="33" s="1"/>
  <c r="P15" i="33"/>
  <c r="Q15" i="33" s="1"/>
  <c r="P14" i="33"/>
  <c r="L14" i="33"/>
  <c r="Q13" i="33"/>
  <c r="P13" i="33"/>
  <c r="Q12" i="33"/>
  <c r="P12" i="33"/>
  <c r="Q11" i="33"/>
  <c r="P11" i="33"/>
  <c r="Q10" i="33"/>
  <c r="P10" i="33"/>
  <c r="Q9" i="33"/>
  <c r="P9" i="33"/>
  <c r="P8" i="33"/>
  <c r="K8" i="33"/>
  <c r="P7" i="33"/>
  <c r="Q7" i="33" s="1"/>
  <c r="L38" i="15"/>
  <c r="K38" i="15"/>
  <c r="J38" i="15"/>
  <c r="I38" i="15"/>
  <c r="H38" i="15"/>
  <c r="P37" i="15"/>
  <c r="O37" i="15"/>
  <c r="N37" i="15"/>
  <c r="M37" i="15"/>
  <c r="L37" i="15"/>
  <c r="K37" i="15"/>
  <c r="J37" i="15"/>
  <c r="I37" i="15"/>
  <c r="O36" i="15"/>
  <c r="P36" i="15" s="1"/>
  <c r="N36" i="15"/>
  <c r="M36" i="15"/>
  <c r="L36" i="15"/>
  <c r="J36" i="15"/>
  <c r="I36" i="15"/>
  <c r="H36" i="15"/>
  <c r="P34" i="15"/>
  <c r="N34" i="15"/>
  <c r="M34" i="15"/>
  <c r="L34" i="15"/>
  <c r="L35" i="15" s="1"/>
  <c r="K34" i="15"/>
  <c r="J34" i="15"/>
  <c r="I34" i="15"/>
  <c r="H34" i="15"/>
  <c r="Q34" i="15" s="1"/>
  <c r="P33" i="15"/>
  <c r="Q33" i="15" s="1"/>
  <c r="Q32" i="15"/>
  <c r="P32" i="15"/>
  <c r="Q31" i="15"/>
  <c r="P31" i="15"/>
  <c r="Q30" i="15"/>
  <c r="P30" i="15"/>
  <c r="Q29" i="15"/>
  <c r="P29" i="15"/>
  <c r="Q28" i="15"/>
  <c r="P28" i="15"/>
  <c r="Q27" i="15"/>
  <c r="P27" i="15"/>
  <c r="Q26" i="15"/>
  <c r="P26" i="15"/>
  <c r="Q25" i="15"/>
  <c r="P25" i="15"/>
  <c r="L23" i="15"/>
  <c r="J23" i="15"/>
  <c r="J35" i="15" s="1"/>
  <c r="I23" i="15"/>
  <c r="I35" i="15" s="1"/>
  <c r="Q22" i="15"/>
  <c r="P22" i="15"/>
  <c r="P21" i="15"/>
  <c r="Q21" i="15" s="1"/>
  <c r="Q20" i="15"/>
  <c r="P20" i="15"/>
  <c r="P19" i="15"/>
  <c r="Q19" i="15" s="1"/>
  <c r="O18" i="15"/>
  <c r="O23" i="15" s="1"/>
  <c r="N18" i="15"/>
  <c r="N23" i="15" s="1"/>
  <c r="M18" i="15"/>
  <c r="P17" i="15"/>
  <c r="Q17" i="15" s="1"/>
  <c r="Q16" i="15"/>
  <c r="P16" i="15"/>
  <c r="P15" i="15"/>
  <c r="Q15" i="15" s="1"/>
  <c r="Q14" i="15"/>
  <c r="P14" i="15"/>
  <c r="K14" i="15"/>
  <c r="K23" i="15" s="1"/>
  <c r="P13" i="15"/>
  <c r="Q13" i="15" s="1"/>
  <c r="P12" i="15"/>
  <c r="H12" i="15"/>
  <c r="H23" i="15" s="1"/>
  <c r="P11" i="15"/>
  <c r="Q11" i="15" s="1"/>
  <c r="P10" i="15"/>
  <c r="Q10" i="15" s="1"/>
  <c r="P9" i="15"/>
  <c r="Q9" i="15" s="1"/>
  <c r="Q8" i="15"/>
  <c r="Q6" i="15"/>
  <c r="K100" i="13"/>
  <c r="J100" i="13"/>
  <c r="I100" i="13"/>
  <c r="P99" i="13"/>
  <c r="O99" i="13"/>
  <c r="N99" i="13"/>
  <c r="M99" i="13"/>
  <c r="O98" i="13"/>
  <c r="P98" i="13" s="1"/>
  <c r="N98" i="13"/>
  <c r="J98" i="13"/>
  <c r="I98" i="13"/>
  <c r="H98" i="13"/>
  <c r="K96" i="13"/>
  <c r="I96" i="13"/>
  <c r="P95" i="13"/>
  <c r="Q95" i="13" s="1"/>
  <c r="P94" i="13"/>
  <c r="Q94" i="13" s="1"/>
  <c r="P93" i="13"/>
  <c r="Q93" i="13" s="1"/>
  <c r="P92" i="13"/>
  <c r="Q92" i="13" s="1"/>
  <c r="P91" i="13"/>
  <c r="Q91" i="13" s="1"/>
  <c r="P90" i="13"/>
  <c r="Q90" i="13" s="1"/>
  <c r="P89" i="13"/>
  <c r="Q89" i="13" s="1"/>
  <c r="P88" i="13"/>
  <c r="Q88" i="13" s="1"/>
  <c r="P87" i="13"/>
  <c r="Q87" i="13" s="1"/>
  <c r="O86" i="13"/>
  <c r="P86" i="13" s="1"/>
  <c r="N86" i="13"/>
  <c r="N100" i="13" s="1"/>
  <c r="M86" i="13"/>
  <c r="M100" i="13" s="1"/>
  <c r="L86" i="13"/>
  <c r="L96" i="13" s="1"/>
  <c r="H86" i="13"/>
  <c r="P85" i="13"/>
  <c r="Q85" i="13" s="1"/>
  <c r="Q84" i="13"/>
  <c r="P84" i="13"/>
  <c r="P83" i="13"/>
  <c r="Q83" i="13" s="1"/>
  <c r="Q82" i="13"/>
  <c r="P82" i="13"/>
  <c r="P81" i="13"/>
  <c r="Q81" i="13" s="1"/>
  <c r="Q80" i="13"/>
  <c r="P80" i="13"/>
  <c r="P79" i="13"/>
  <c r="Q79" i="13" s="1"/>
  <c r="P78" i="13"/>
  <c r="J78" i="13"/>
  <c r="J99" i="13" s="1"/>
  <c r="P77" i="13"/>
  <c r="Q77" i="13" s="1"/>
  <c r="O75" i="13"/>
  <c r="P75" i="13" s="1"/>
  <c r="N75" i="13"/>
  <c r="M75" i="13"/>
  <c r="J75" i="13"/>
  <c r="H75" i="13"/>
  <c r="P74" i="13"/>
  <c r="Q74" i="13" s="1"/>
  <c r="P73" i="13"/>
  <c r="Q73" i="13" s="1"/>
  <c r="P72" i="13"/>
  <c r="Q72" i="13" s="1"/>
  <c r="P71" i="13"/>
  <c r="Q71" i="13" s="1"/>
  <c r="P70" i="13"/>
  <c r="Q70" i="13" s="1"/>
  <c r="P69" i="13"/>
  <c r="Q69" i="13" s="1"/>
  <c r="P68" i="13"/>
  <c r="L68" i="13"/>
  <c r="L100" i="13" s="1"/>
  <c r="Q67" i="13"/>
  <c r="P67" i="13"/>
  <c r="P66" i="13"/>
  <c r="Q66" i="13" s="1"/>
  <c r="Q65" i="13"/>
  <c r="P65" i="13"/>
  <c r="P64" i="13"/>
  <c r="Q64" i="13" s="1"/>
  <c r="Q63" i="13"/>
  <c r="P63" i="13"/>
  <c r="P62" i="13"/>
  <c r="Q62" i="13" s="1"/>
  <c r="Q61" i="13"/>
  <c r="P61" i="13"/>
  <c r="P60" i="13"/>
  <c r="Q60" i="13" s="1"/>
  <c r="Q59" i="13"/>
  <c r="P59" i="13"/>
  <c r="P58" i="13"/>
  <c r="L58" i="13"/>
  <c r="Q58" i="13" s="1"/>
  <c r="P57" i="13"/>
  <c r="Q57" i="13" s="1"/>
  <c r="P56" i="13"/>
  <c r="Q56" i="13" s="1"/>
  <c r="P55" i="13"/>
  <c r="Q55" i="13" s="1"/>
  <c r="P54" i="13"/>
  <c r="Q54" i="13" s="1"/>
  <c r="P53" i="13"/>
  <c r="Q53" i="13" s="1"/>
  <c r="P52" i="13"/>
  <c r="Q52" i="13" s="1"/>
  <c r="P51" i="13"/>
  <c r="Q51" i="13" s="1"/>
  <c r="P50" i="13"/>
  <c r="Q50" i="13" s="1"/>
  <c r="P49" i="13"/>
  <c r="Q49" i="13" s="1"/>
  <c r="P48" i="13"/>
  <c r="K48" i="13"/>
  <c r="Q48" i="13" s="1"/>
  <c r="Q47" i="13"/>
  <c r="P47" i="13"/>
  <c r="P46" i="13"/>
  <c r="Q46" i="13" s="1"/>
  <c r="Q45" i="13"/>
  <c r="P45" i="13"/>
  <c r="P44" i="13"/>
  <c r="Q44" i="13" s="1"/>
  <c r="Q43" i="13"/>
  <c r="P43" i="13"/>
  <c r="P42" i="13"/>
  <c r="Q42" i="13" s="1"/>
  <c r="Q41" i="13"/>
  <c r="P41" i="13"/>
  <c r="P40" i="13"/>
  <c r="Q40" i="13" s="1"/>
  <c r="Q39" i="13"/>
  <c r="P39" i="13"/>
  <c r="K38" i="13"/>
  <c r="Q37" i="13"/>
  <c r="P36" i="13"/>
  <c r="Q36" i="13" s="1"/>
  <c r="P35" i="13"/>
  <c r="Q35" i="13" s="1"/>
  <c r="P34" i="13"/>
  <c r="Q34" i="13" s="1"/>
  <c r="P33" i="13"/>
  <c r="Q33" i="13" s="1"/>
  <c r="L32" i="13"/>
  <c r="L99" i="13" s="1"/>
  <c r="I32" i="13"/>
  <c r="I99" i="13" s="1"/>
  <c r="H32" i="13"/>
  <c r="Q32" i="13" s="1"/>
  <c r="Q31" i="13"/>
  <c r="O29" i="13"/>
  <c r="P29" i="13" s="1"/>
  <c r="N29" i="13"/>
  <c r="J29" i="13"/>
  <c r="I29" i="13"/>
  <c r="H29" i="13"/>
  <c r="Q28" i="13"/>
  <c r="P28" i="13"/>
  <c r="P27" i="13"/>
  <c r="K27" i="13"/>
  <c r="Q27" i="13" s="1"/>
  <c r="P26" i="13"/>
  <c r="L26" i="13"/>
  <c r="L29" i="13" s="1"/>
  <c r="K26" i="13"/>
  <c r="P25" i="13"/>
  <c r="Q25" i="13" s="1"/>
  <c r="P24" i="13"/>
  <c r="Q24" i="13" s="1"/>
  <c r="P23" i="13"/>
  <c r="Q23" i="13" s="1"/>
  <c r="P22" i="13"/>
  <c r="Q22" i="13" s="1"/>
  <c r="P21" i="13"/>
  <c r="Q21" i="13" s="1"/>
  <c r="P20" i="13"/>
  <c r="Q20" i="13" s="1"/>
  <c r="P19" i="13"/>
  <c r="Q19" i="13" s="1"/>
  <c r="P18" i="13"/>
  <c r="Q18" i="13" s="1"/>
  <c r="P17" i="13"/>
  <c r="Q17" i="13" s="1"/>
  <c r="Q16" i="13"/>
  <c r="P16" i="13"/>
  <c r="P15" i="13"/>
  <c r="M15" i="13"/>
  <c r="M98" i="13" s="1"/>
  <c r="Q14" i="13"/>
  <c r="P14" i="13"/>
  <c r="P13" i="13"/>
  <c r="Q13" i="13" s="1"/>
  <c r="Q12" i="13"/>
  <c r="P12" i="13"/>
  <c r="P11" i="13"/>
  <c r="Q11" i="13" s="1"/>
  <c r="Q10" i="13"/>
  <c r="P10" i="13"/>
  <c r="P9" i="13"/>
  <c r="K9" i="13"/>
  <c r="P8" i="13"/>
  <c r="Q8" i="13" s="1"/>
  <c r="P7" i="13"/>
  <c r="K7" i="13"/>
  <c r="O54" i="7"/>
  <c r="P54" i="7" s="1"/>
  <c r="N54" i="7"/>
  <c r="M54" i="7"/>
  <c r="L54" i="7"/>
  <c r="K54" i="7"/>
  <c r="J54" i="7"/>
  <c r="I54" i="7"/>
  <c r="H54" i="7"/>
  <c r="O53" i="7"/>
  <c r="P53" i="7" s="1"/>
  <c r="N53" i="7"/>
  <c r="M53" i="7"/>
  <c r="L53" i="7"/>
  <c r="K53" i="7"/>
  <c r="J53" i="7"/>
  <c r="I53" i="7"/>
  <c r="H53" i="7"/>
  <c r="O52" i="7"/>
  <c r="P52" i="7" s="1"/>
  <c r="N52" i="7"/>
  <c r="M52" i="7"/>
  <c r="K52" i="7"/>
  <c r="J52" i="7"/>
  <c r="I52" i="7"/>
  <c r="H52" i="7"/>
  <c r="I51" i="7"/>
  <c r="H51" i="7"/>
  <c r="O50" i="7"/>
  <c r="O51" i="7" s="1"/>
  <c r="P51" i="7" s="1"/>
  <c r="N50" i="7"/>
  <c r="N51" i="7" s="1"/>
  <c r="M50" i="7"/>
  <c r="M51" i="7" s="1"/>
  <c r="K50" i="7"/>
  <c r="K51" i="7" s="1"/>
  <c r="J50" i="7"/>
  <c r="J51" i="7" s="1"/>
  <c r="I50" i="7"/>
  <c r="H50" i="7"/>
  <c r="P49" i="7"/>
  <c r="Q49" i="7" s="1"/>
  <c r="Q48" i="7"/>
  <c r="P48" i="7"/>
  <c r="P47" i="7"/>
  <c r="Q47" i="7" s="1"/>
  <c r="Q46" i="7"/>
  <c r="P46" i="7"/>
  <c r="P45" i="7"/>
  <c r="Q45" i="7" s="1"/>
  <c r="P44" i="7"/>
  <c r="Q44" i="7" s="1"/>
  <c r="P43" i="7"/>
  <c r="Q43" i="7" s="1"/>
  <c r="P42" i="7"/>
  <c r="Q42" i="7" s="1"/>
  <c r="P41" i="7"/>
  <c r="Q41" i="7" s="1"/>
  <c r="Q40" i="7"/>
  <c r="P40" i="7"/>
  <c r="P39" i="7"/>
  <c r="L39" i="7"/>
  <c r="L52" i="7" s="1"/>
  <c r="P38" i="7"/>
  <c r="Q38" i="7" s="1"/>
  <c r="P37" i="7"/>
  <c r="Q37" i="7" s="1"/>
  <c r="P36" i="7"/>
  <c r="Q36" i="7" s="1"/>
  <c r="Q35" i="7"/>
  <c r="P35" i="7"/>
  <c r="P34" i="7"/>
  <c r="Q34" i="7" s="1"/>
  <c r="Q33" i="7"/>
  <c r="P33" i="7"/>
  <c r="P32" i="7"/>
  <c r="Q32" i="7" s="1"/>
  <c r="Q31" i="7"/>
  <c r="P31" i="7"/>
  <c r="P30" i="7"/>
  <c r="Q30" i="7" s="1"/>
  <c r="P29" i="7"/>
  <c r="Q29" i="7" s="1"/>
  <c r="P28" i="7"/>
  <c r="Q28" i="7" s="1"/>
  <c r="Q27" i="7"/>
  <c r="P27" i="7"/>
  <c r="P26" i="7"/>
  <c r="Q26" i="7" s="1"/>
  <c r="Q25" i="7"/>
  <c r="P25" i="7"/>
  <c r="P24" i="7"/>
  <c r="Q24" i="7" s="1"/>
  <c r="Q23" i="7"/>
  <c r="P23" i="7"/>
  <c r="P22" i="7"/>
  <c r="Q22" i="7" s="1"/>
  <c r="P21" i="7"/>
  <c r="Q21" i="7" s="1"/>
  <c r="P20" i="7"/>
  <c r="Q20" i="7" s="1"/>
  <c r="Q19" i="7"/>
  <c r="P19" i="7"/>
  <c r="P18" i="7"/>
  <c r="Q18" i="7" s="1"/>
  <c r="Q17" i="7"/>
  <c r="P17" i="7"/>
  <c r="P16" i="7"/>
  <c r="Q16" i="7" s="1"/>
  <c r="P15" i="7"/>
  <c r="Q15" i="7" s="1"/>
  <c r="P14" i="7"/>
  <c r="Q14" i="7" s="1"/>
  <c r="P13" i="7"/>
  <c r="Q13" i="7" s="1"/>
  <c r="P12" i="7"/>
  <c r="Q12" i="7" s="1"/>
  <c r="Q11" i="7"/>
  <c r="P11" i="7"/>
  <c r="P10" i="7"/>
  <c r="Q10" i="7" s="1"/>
  <c r="Q9" i="7"/>
  <c r="P9" i="7"/>
  <c r="P8" i="7"/>
  <c r="Q8" i="7" s="1"/>
  <c r="P7" i="7"/>
  <c r="Q7" i="7" s="1"/>
  <c r="D7" i="5"/>
  <c r="Q32" i="3"/>
  <c r="P32" i="3"/>
  <c r="O32" i="3"/>
  <c r="N32" i="3"/>
  <c r="M32" i="3"/>
  <c r="L32" i="3"/>
  <c r="P28" i="3"/>
  <c r="Q28" i="3" s="1"/>
  <c r="O20" i="3"/>
  <c r="P20" i="3" s="1"/>
  <c r="Q20" i="3" s="1"/>
  <c r="N20" i="3"/>
  <c r="M20" i="3"/>
  <c r="L20" i="3"/>
  <c r="O19" i="3"/>
  <c r="P19" i="3" s="1"/>
  <c r="N19" i="3"/>
  <c r="M19" i="3"/>
  <c r="L19" i="3"/>
  <c r="O16" i="3"/>
  <c r="P16" i="3" s="1"/>
  <c r="Q16" i="3" s="1"/>
  <c r="N16" i="3"/>
  <c r="M16" i="3"/>
  <c r="O12" i="3"/>
  <c r="P12" i="3" s="1"/>
  <c r="Q12" i="3" s="1"/>
  <c r="N12" i="3"/>
  <c r="M12" i="3"/>
  <c r="L8" i="3"/>
  <c r="M29" i="2"/>
  <c r="L29" i="2"/>
  <c r="K28" i="2"/>
  <c r="L27" i="2"/>
  <c r="M27" i="2" s="1"/>
  <c r="L26" i="2"/>
  <c r="M26" i="2" s="1"/>
  <c r="J25" i="2"/>
  <c r="I25" i="2"/>
  <c r="H25" i="2"/>
  <c r="G25" i="2"/>
  <c r="F25" i="2"/>
  <c r="E25" i="2"/>
  <c r="D25" i="2"/>
  <c r="L24" i="2"/>
  <c r="M24" i="2" s="1"/>
  <c r="L23" i="2"/>
  <c r="M23" i="2" s="1"/>
  <c r="M22" i="2"/>
  <c r="L22" i="2"/>
  <c r="L21" i="2"/>
  <c r="M21" i="2" s="1"/>
  <c r="K20" i="2"/>
  <c r="L20" i="2" s="1"/>
  <c r="J20" i="2"/>
  <c r="I20" i="2"/>
  <c r="H20" i="2"/>
  <c r="G20" i="2"/>
  <c r="F20" i="2"/>
  <c r="E20" i="2"/>
  <c r="D20" i="2"/>
  <c r="M19" i="2"/>
  <c r="L19" i="2"/>
  <c r="K18" i="2"/>
  <c r="L17" i="2"/>
  <c r="M17" i="2" s="1"/>
  <c r="M16" i="2"/>
  <c r="L16" i="2"/>
  <c r="K15" i="2"/>
  <c r="L15" i="2" s="1"/>
  <c r="J15" i="2"/>
  <c r="I15" i="2"/>
  <c r="H15" i="2"/>
  <c r="G15" i="2"/>
  <c r="F15" i="2"/>
  <c r="E15" i="2"/>
  <c r="D15" i="2"/>
  <c r="M14" i="2"/>
  <c r="L14" i="2"/>
  <c r="L13" i="2"/>
  <c r="M13" i="2" s="1"/>
  <c r="L12" i="2"/>
  <c r="M12" i="2" s="1"/>
  <c r="L11" i="2"/>
  <c r="M11" i="2" s="1"/>
  <c r="K10" i="2"/>
  <c r="L10" i="2" s="1"/>
  <c r="J10" i="2"/>
  <c r="I10" i="2"/>
  <c r="H10" i="2"/>
  <c r="G10" i="2"/>
  <c r="F10" i="2"/>
  <c r="E10" i="2"/>
  <c r="D10" i="2"/>
  <c r="K9" i="2"/>
  <c r="L9" i="2" s="1"/>
  <c r="J9" i="2"/>
  <c r="I9" i="2"/>
  <c r="H9" i="2"/>
  <c r="G9" i="2"/>
  <c r="F9" i="2"/>
  <c r="E9" i="2"/>
  <c r="D9" i="2"/>
  <c r="K8" i="2"/>
  <c r="L8" i="2" s="1"/>
  <c r="J8" i="2"/>
  <c r="J5" i="2" s="1"/>
  <c r="I8" i="2"/>
  <c r="H8" i="2"/>
  <c r="G8" i="2"/>
  <c r="F8" i="2"/>
  <c r="F5" i="2" s="1"/>
  <c r="E8" i="2"/>
  <c r="D8" i="2"/>
  <c r="K7" i="2"/>
  <c r="L7" i="2" s="1"/>
  <c r="J7" i="2"/>
  <c r="I7" i="2"/>
  <c r="H7" i="2"/>
  <c r="H5" i="2" s="1"/>
  <c r="G7" i="2"/>
  <c r="G5" i="2" s="1"/>
  <c r="F7" i="2"/>
  <c r="E7" i="2"/>
  <c r="D7" i="2"/>
  <c r="M6" i="2"/>
  <c r="L6" i="2"/>
  <c r="I5" i="2"/>
  <c r="E5" i="2"/>
  <c r="D5" i="2"/>
  <c r="P26" i="1"/>
  <c r="Q26" i="1" s="1"/>
  <c r="P25" i="1"/>
  <c r="K25" i="1"/>
  <c r="K10" i="1" s="1"/>
  <c r="K5" i="1" s="1"/>
  <c r="J25" i="1"/>
  <c r="J22" i="1" s="1"/>
  <c r="I25" i="1"/>
  <c r="I22" i="1" s="1"/>
  <c r="N24" i="1"/>
  <c r="N22" i="1" s="1"/>
  <c r="P23" i="1"/>
  <c r="Q23" i="1" s="1"/>
  <c r="M22" i="1"/>
  <c r="L22" i="1"/>
  <c r="K22" i="1"/>
  <c r="H22" i="1"/>
  <c r="Q21" i="1"/>
  <c r="P21" i="1"/>
  <c r="P20" i="1"/>
  <c r="Q20" i="1" s="1"/>
  <c r="O19" i="1"/>
  <c r="P19" i="1" s="1"/>
  <c r="N19" i="1"/>
  <c r="M19" i="1"/>
  <c r="L19" i="1"/>
  <c r="K19" i="1"/>
  <c r="J19" i="1"/>
  <c r="I19" i="1"/>
  <c r="H19" i="1"/>
  <c r="O18" i="1"/>
  <c r="P17" i="1"/>
  <c r="Q17" i="1" s="1"/>
  <c r="P16" i="1"/>
  <c r="Q16" i="1" s="1"/>
  <c r="N15" i="1"/>
  <c r="M15" i="1"/>
  <c r="L15" i="1"/>
  <c r="K15" i="1"/>
  <c r="J15" i="1"/>
  <c r="I15" i="1"/>
  <c r="H15" i="1"/>
  <c r="P14" i="1"/>
  <c r="Q14" i="1" s="1"/>
  <c r="P13" i="1"/>
  <c r="Q13" i="1" s="1"/>
  <c r="P12" i="1"/>
  <c r="Q12" i="1" s="1"/>
  <c r="O11" i="1"/>
  <c r="P11" i="1" s="1"/>
  <c r="N11" i="1"/>
  <c r="M11" i="1"/>
  <c r="L11" i="1"/>
  <c r="K11" i="1"/>
  <c r="J11" i="1"/>
  <c r="I11" i="1"/>
  <c r="H11" i="1"/>
  <c r="Q11" i="1" s="1"/>
  <c r="P10" i="1"/>
  <c r="O10" i="1"/>
  <c r="N10" i="1"/>
  <c r="M10" i="1"/>
  <c r="L10" i="1"/>
  <c r="I10" i="1"/>
  <c r="H10" i="1"/>
  <c r="O9" i="1"/>
  <c r="P9" i="1" s="1"/>
  <c r="N9" i="1"/>
  <c r="M9" i="1"/>
  <c r="L9" i="1"/>
  <c r="K9" i="1"/>
  <c r="J9" i="1"/>
  <c r="I9" i="1"/>
  <c r="H9" i="1"/>
  <c r="P8" i="1"/>
  <c r="M8" i="1"/>
  <c r="M7" i="1"/>
  <c r="L7" i="1"/>
  <c r="K7" i="1"/>
  <c r="J7" i="1"/>
  <c r="I7" i="1"/>
  <c r="H7" i="1"/>
  <c r="P6" i="1"/>
  <c r="Q6" i="1" s="1"/>
  <c r="K5" i="2" l="1"/>
  <c r="L5" i="2" s="1"/>
  <c r="M7" i="2"/>
  <c r="M15" i="2"/>
  <c r="M18" i="2"/>
  <c r="M38" i="15"/>
  <c r="M23" i="15"/>
  <c r="M35" i="15" s="1"/>
  <c r="Q8" i="1"/>
  <c r="M9" i="2"/>
  <c r="L18" i="2"/>
  <c r="K25" i="2"/>
  <c r="L25" i="2" s="1"/>
  <c r="L28" i="2"/>
  <c r="M28" i="2" s="1"/>
  <c r="Q39" i="7"/>
  <c r="K99" i="13"/>
  <c r="Q9" i="13"/>
  <c r="Q68" i="13"/>
  <c r="I5" i="1"/>
  <c r="M5" i="1"/>
  <c r="J10" i="1"/>
  <c r="J5" i="1" s="1"/>
  <c r="Q9" i="1"/>
  <c r="L5" i="1"/>
  <c r="M10" i="2"/>
  <c r="K29" i="13"/>
  <c r="M29" i="13"/>
  <c r="K75" i="13"/>
  <c r="Q38" i="13"/>
  <c r="Q53" i="7"/>
  <c r="Q7" i="13"/>
  <c r="Q26" i="13"/>
  <c r="K35" i="15"/>
  <c r="N35" i="15"/>
  <c r="N38" i="15"/>
  <c r="K35" i="33"/>
  <c r="K46" i="33" s="1"/>
  <c r="Q52" i="7"/>
  <c r="Q54" i="7"/>
  <c r="Q29" i="13"/>
  <c r="Q86" i="13"/>
  <c r="M35" i="33"/>
  <c r="M46" i="33" s="1"/>
  <c r="K44" i="33"/>
  <c r="I46" i="33"/>
  <c r="I44" i="33"/>
  <c r="N46" i="33"/>
  <c r="N44" i="33"/>
  <c r="J46" i="33"/>
  <c r="J44" i="33"/>
  <c r="O46" i="33"/>
  <c r="P46" i="33" s="1"/>
  <c r="O44" i="33"/>
  <c r="P44" i="33" s="1"/>
  <c r="P35" i="33"/>
  <c r="Q8" i="33"/>
  <c r="P43" i="33"/>
  <c r="Q43" i="33" s="1"/>
  <c r="H45" i="33"/>
  <c r="Q45" i="33" s="1"/>
  <c r="Q14" i="33"/>
  <c r="Q19" i="33"/>
  <c r="H35" i="33"/>
  <c r="L20" i="33"/>
  <c r="Q20" i="33" s="1"/>
  <c r="Q42" i="33"/>
  <c r="O35" i="15"/>
  <c r="P35" i="15" s="1"/>
  <c r="P23" i="15"/>
  <c r="Q23" i="15"/>
  <c r="H35" i="15"/>
  <c r="P18" i="15"/>
  <c r="K36" i="15"/>
  <c r="Q36" i="15" s="1"/>
  <c r="O38" i="15"/>
  <c r="P38" i="15" s="1"/>
  <c r="H37" i="15"/>
  <c r="Q37" i="15" s="1"/>
  <c r="Q12" i="15"/>
  <c r="Q18" i="15"/>
  <c r="I97" i="13"/>
  <c r="K97" i="13"/>
  <c r="L75" i="13"/>
  <c r="L97" i="13" s="1"/>
  <c r="J96" i="13"/>
  <c r="J97" i="13" s="1"/>
  <c r="N96" i="13"/>
  <c r="N97" i="13" s="1"/>
  <c r="H99" i="13"/>
  <c r="Q99" i="13" s="1"/>
  <c r="Q15" i="13"/>
  <c r="I75" i="13"/>
  <c r="O96" i="13"/>
  <c r="K98" i="13"/>
  <c r="O100" i="13"/>
  <c r="P100" i="13" s="1"/>
  <c r="Q78" i="13"/>
  <c r="H96" i="13"/>
  <c r="L98" i="13"/>
  <c r="H100" i="13"/>
  <c r="Q100" i="13" s="1"/>
  <c r="M96" i="13"/>
  <c r="M97" i="13" s="1"/>
  <c r="L50" i="7"/>
  <c r="L51" i="7" s="1"/>
  <c r="Q51" i="7" s="1"/>
  <c r="P50" i="7"/>
  <c r="M8" i="2"/>
  <c r="M20" i="2"/>
  <c r="Q19" i="1"/>
  <c r="H5" i="1"/>
  <c r="O15" i="1"/>
  <c r="P15" i="1" s="1"/>
  <c r="P18" i="1"/>
  <c r="Q18" i="1" s="1"/>
  <c r="Q25" i="1"/>
  <c r="O24" i="1"/>
  <c r="N7" i="1"/>
  <c r="N5" i="1" s="1"/>
  <c r="M44" i="33" l="1"/>
  <c r="Q10" i="1"/>
  <c r="Q98" i="13"/>
  <c r="Q75" i="13"/>
  <c r="M25" i="2"/>
  <c r="L35" i="33"/>
  <c r="L44" i="33" s="1"/>
  <c r="M5" i="2"/>
  <c r="L46" i="33"/>
  <c r="H46" i="33"/>
  <c r="H44" i="33"/>
  <c r="Q44" i="33" s="1"/>
  <c r="Q35" i="33"/>
  <c r="Q35" i="15"/>
  <c r="Q38" i="15"/>
  <c r="H97" i="13"/>
  <c r="O97" i="13"/>
  <c r="P97" i="13" s="1"/>
  <c r="P96" i="13"/>
  <c r="Q96" i="13" s="1"/>
  <c r="Q50" i="7"/>
  <c r="P24" i="1"/>
  <c r="Q24" i="1" s="1"/>
  <c r="O22" i="1"/>
  <c r="O7" i="1"/>
  <c r="Q15" i="1"/>
  <c r="Q46" i="33" l="1"/>
  <c r="Q97" i="13"/>
  <c r="P22" i="1"/>
  <c r="Q22" i="1"/>
  <c r="P7" i="1"/>
  <c r="Q7" i="1" s="1"/>
  <c r="O5" i="1"/>
  <c r="P5" i="1" l="1"/>
  <c r="Q5" i="1"/>
</calcChain>
</file>

<file path=xl/sharedStrings.xml><?xml version="1.0" encoding="utf-8"?>
<sst xmlns="http://schemas.openxmlformats.org/spreadsheetml/2006/main" count="1664" uniqueCount="563">
  <si>
    <t>Приложение № 1
к муниципальной программе 
«Система образования 
города Дивногорска »</t>
  </si>
  <si>
    <t>Информация о распределении планируемых расходов по отдельным мероприятиям программ, подпрограммам государственной программы</t>
  </si>
  <si>
    <t>Статус (муниципальная программа, подпрограмма)</t>
  </si>
  <si>
    <t>Наименование программы, подпрограммы</t>
  </si>
  <si>
    <t>Наименование РБС</t>
  </si>
  <si>
    <t>Код бюджетной классификации</t>
  </si>
  <si>
    <t>Расходы (тыс. руб.), годы</t>
  </si>
  <si>
    <t>РБС</t>
  </si>
  <si>
    <t>Рз Пр</t>
  </si>
  <si>
    <t>ЦСР</t>
  </si>
  <si>
    <t>ВР</t>
  </si>
  <si>
    <t>Итого на период</t>
  </si>
  <si>
    <t>Муниципальная программа</t>
  </si>
  <si>
    <t>«Система образования 
города Дивногорска »</t>
  </si>
  <si>
    <t>всего расходное обязательство по программе</t>
  </si>
  <si>
    <t>х</t>
  </si>
  <si>
    <t>в том числе по РБС:</t>
  </si>
  <si>
    <t>Отдел образования администрации города Дивногорска</t>
  </si>
  <si>
    <t>975</t>
  </si>
  <si>
    <t>Администрация города Дивногорска</t>
  </si>
  <si>
    <t>906</t>
  </si>
  <si>
    <t>МСКУ "МЦБ"</t>
  </si>
  <si>
    <t>976</t>
  </si>
  <si>
    <t>Подпрограмма 1</t>
  </si>
  <si>
    <t>«Дошкольное образование детей»</t>
  </si>
  <si>
    <t>Управление социальной защиты администрации города Дивногорска</t>
  </si>
  <si>
    <t>948</t>
  </si>
  <si>
    <t>Подпрограмма 2</t>
  </si>
  <si>
    <t>«Общее и дополнительное образование детей»</t>
  </si>
  <si>
    <t>Подпрограмма 3</t>
  </si>
  <si>
    <t>«Обеспечение безопасного качественного отдыха и оздоровления детей в период каникул»</t>
  </si>
  <si>
    <t>Подпрограмма 4</t>
  </si>
  <si>
    <t>«Обеспечение реализации муниципальной программы и прочие мероприятия в области образования»</t>
  </si>
  <si>
    <t>Начальник отдела образования администрации города Дивногорска</t>
  </si>
  <si>
    <t>Г.В.Кабацура</t>
  </si>
  <si>
    <t>Приложение № 2
к муниципальной программе 
«Система образования 
города Дивногорска »</t>
  </si>
  <si>
    <t>Информация о ресурсном обеспечении и прогнозной оценке расходов на реализацию целей муниципальной программы 
с учетом источников финансирования, в том числе средств краевого бюджета и бюджета муниципального образования город Дивногорск</t>
  </si>
  <si>
    <t>Статус</t>
  </si>
  <si>
    <t>Наименование муниципальной программы, подпрограммы муниципальной программы</t>
  </si>
  <si>
    <t>Ответственный исполнитель, соисполнители</t>
  </si>
  <si>
    <t>Оценка расходов 
(тыс. руб.), годы</t>
  </si>
  <si>
    <t>2014 год</t>
  </si>
  <si>
    <t>2015 год</t>
  </si>
  <si>
    <t>2016 год</t>
  </si>
  <si>
    <t>2017 год</t>
  </si>
  <si>
    <t>2018 год</t>
  </si>
  <si>
    <t>2019 год</t>
  </si>
  <si>
    <t>2020 год</t>
  </si>
  <si>
    <t>2021 год</t>
  </si>
  <si>
    <t>2022 год</t>
  </si>
  <si>
    <t>Всего</t>
  </si>
  <si>
    <t>в том числе:</t>
  </si>
  <si>
    <t xml:space="preserve">краевой бюджет </t>
  </si>
  <si>
    <t>муниципальный бюджет</t>
  </si>
  <si>
    <t>внебюджетные источники</t>
  </si>
  <si>
    <t xml:space="preserve">Подпрограмма 1 </t>
  </si>
  <si>
    <t xml:space="preserve">       краевой бюджет </t>
  </si>
  <si>
    <t xml:space="preserve">      муниципальный бюджет</t>
  </si>
  <si>
    <t xml:space="preserve">      внебюджетные источники</t>
  </si>
  <si>
    <t xml:space="preserve">Подпрограмма 2 </t>
  </si>
  <si>
    <t xml:space="preserve">     краевой бюджет </t>
  </si>
  <si>
    <t xml:space="preserve">    муниципальный бюджет</t>
  </si>
  <si>
    <t xml:space="preserve">    внебюджетные источники</t>
  </si>
  <si>
    <t>Приложение № 3
к муниципальной программе 
«Система образования 
города Дивногорска »</t>
  </si>
  <si>
    <t>Прогноз сводных показателей муниципальных заданий на оказание муниципальных услуг муниципальными учреждениями 
по муниципальной программе «Система образования города Дивногорска»</t>
  </si>
  <si>
    <t>Наименование услуги, показателя объема услуги (работы)</t>
  </si>
  <si>
    <t>Значение показателя объема услуги (работы)</t>
  </si>
  <si>
    <t>Расходы муниципального бюджета на оказание (выполнение) муниципальной услуги (работы), тыс. руб.</t>
  </si>
  <si>
    <t>Наименование услуги и ее содержание: реализация основных общеобразовательных программ дошкольного образования</t>
  </si>
  <si>
    <t>Показатель объема услуги:</t>
  </si>
  <si>
    <t>Количество детей от 2-х мес. до 7 лет</t>
  </si>
  <si>
    <t>Подпрограмма 1. «Дошкольное образование детей»</t>
  </si>
  <si>
    <t>Обеспечение деятельности (оказание услуг) подведомственных учреждений</t>
  </si>
  <si>
    <t>Наименование услуги и ее содержание: реализация основных общеобразовательных программ начального общего образования</t>
  </si>
  <si>
    <t>Количество детей от 6 лет 6 мес. до 10 лет</t>
  </si>
  <si>
    <t>Подпрограмма 2. «Общее и дополнительное образование детей»</t>
  </si>
  <si>
    <t>Наименование услуги и ее содержание: реализация основных общеобразовательных программ основного общего образования</t>
  </si>
  <si>
    <t>Количество детей с 11 до 15 лет</t>
  </si>
  <si>
    <t>Наименование услуги и ее содержание: реализация основных общеобразовательных программ среднего общего образования</t>
  </si>
  <si>
    <t>Количество детей с 16 до 18 лет</t>
  </si>
  <si>
    <t>Количество детей с 6 лет 6 мес. до 18 лет</t>
  </si>
  <si>
    <t>Подпрограмма  3 «Обеспечение безопасного качественного отдыха и оздоровления детей в период каникул»</t>
  </si>
  <si>
    <t>Наименование услуги и ее содержание:  реализация дополнительных общеобразовательных общеразвивающих программ</t>
  </si>
  <si>
    <t>Количество детей с 6 лет до 18 лет</t>
  </si>
  <si>
    <t>Наименование услуги и ее содержание: Услуга по организации предоставления психого-медико-педагогической помощи детям с ограниченными возможностями здоровья</t>
  </si>
  <si>
    <t>Количество детей от 0 до 18 лет</t>
  </si>
  <si>
    <t xml:space="preserve">Приложение № 1 
к Паспорту муниципальной программы  
 «Система образования города Дивногорска» </t>
  </si>
  <si>
    <t>Перечень целевых показателей и показателей результативности программы с расшифровкой плановых значений по годам ее реализации</t>
  </si>
  <si>
    <t>№ п/п</t>
  </si>
  <si>
    <t xml:space="preserve">Цели, задачи, показатели </t>
  </si>
  <si>
    <t>Единица измерения</t>
  </si>
  <si>
    <t xml:space="preserve">Вес показателя </t>
  </si>
  <si>
    <t>Источник информации</t>
  </si>
  <si>
    <t>2011 год</t>
  </si>
  <si>
    <t>Цель: обеспечение высокого качества образования, соответствующего потребностям граждан и перспективным задачам развития экономики Красноярского края, реализация мероприятий, направленных на развитие семейных форм воспитания детей-сирот, детей, оставшихся без попечения родителей, отдыха и оздоровления детей в период каникул</t>
  </si>
  <si>
    <t>Удельный вес численности населения в возрасте 5-18 лет, охваченного образованием, в общей численности населения в возрасте 5-18 лет по МО г. Дивногорск</t>
  </si>
  <si>
    <t>%</t>
  </si>
  <si>
    <t>Х</t>
  </si>
  <si>
    <t>Гос. стат. отчетность</t>
  </si>
  <si>
    <t>2</t>
  </si>
  <si>
    <t>Отношение численности детей в возрасте 3–7 лет, которым предоставлена возможность получать услуги дошкольного образования, к общей численности детей в возрасте от 3 до 7 лет, проживающих на территории г. Дивногорска (с учетом групп кратковременного пребывания)</t>
  </si>
  <si>
    <t>Ведомственная отчетность</t>
  </si>
  <si>
    <t>3</t>
  </si>
  <si>
    <t>Доля выпускников муниципальных общеобразовательных организаций г. Дивногорска, получивших аттестат о среднем образовании, в общей численности выпускников муниципальных общеобразовательных организаций</t>
  </si>
  <si>
    <t>4</t>
  </si>
  <si>
    <t>Доля муниципальных общеобразовательных организаций, соответствующих современным требованиям обучения, в общем количестве муниципальных общеобразовательных организаций г. Дивногорска</t>
  </si>
  <si>
    <t>Задача 1. создание в системе дошкольного образования равных возможностей для современного качественного образования, позитивной социализации и оздоровления детей</t>
  </si>
  <si>
    <t>Подпрограмма 1 «Дошкольное образование  детей»</t>
  </si>
  <si>
    <t>Обеспечить доступность дошкольного образования, соответствующего единому стандарту качества дошкольного образования</t>
  </si>
  <si>
    <t>1.1.1</t>
  </si>
  <si>
    <t>Обеспеченность детей дошкольного возраста местами в дошкольных образовательных учреждениях (количество мест на 1000 детей)</t>
  </si>
  <si>
    <t>ведомственная отчетность</t>
  </si>
  <si>
    <t>1.1.2</t>
  </si>
  <si>
    <t>Доля детей в возрасте от трех до семи лет, получающих дошкольную образовательную услугу и (или) услугу по их содержанию в организациях различной организационно-правовой формы и формы собственности, в общей численности детей от трех до семи лет</t>
  </si>
  <si>
    <t>1.1.3</t>
  </si>
  <si>
    <t>Удельный вес воспитанников дошкольных образовательных организаций г. Дивногорска, расположенных на территории города Дивногорска, обучающихся по программам, соответствующим требованиям стандартов дошкольного образования, в общей численности воспитанников дошкольных образовательных организаций, расположенных на территории города Дивногорска</t>
  </si>
  <si>
    <t>_</t>
  </si>
  <si>
    <t>1.1.4</t>
  </si>
  <si>
    <t xml:space="preserve">Удельный вес дошкольных образовательных организаций, в которых оценка их деятельности, а также их руководителей и основных категорий работников осуществляется на основании показателей эффективности деятельности подведомственных муниципальных дошкольных образовательных организаций </t>
  </si>
  <si>
    <t>25(3)</t>
  </si>
  <si>
    <t>80(10)</t>
  </si>
  <si>
    <t>Задача 2. обеспечение потребности населения в качественном доступном общем и дополнительном образовании.</t>
  </si>
  <si>
    <t xml:space="preserve">Подпрограмма 2 «Общее и дополнительное образование детей» </t>
  </si>
  <si>
    <t>Обеспечить создание  в общеобразовательных учреждениях города Дивногорска безопасных и комфортных условий, соответствующих требованиям надзорных органов</t>
  </si>
  <si>
    <t>2.1.1</t>
  </si>
  <si>
    <t>Доля муниципальных образовательных учреждений, в которых произведен выборочный капитальный ремонт зданий и сооружений</t>
  </si>
  <si>
    <t>-</t>
  </si>
  <si>
    <t>2.1.2</t>
  </si>
  <si>
    <t>Доля детей, охваченных горячим питанием в школах</t>
  </si>
  <si>
    <t>2.1.3</t>
  </si>
  <si>
    <t>Число дней пропусков занятий по болезни в расчете на одного ученика</t>
  </si>
  <si>
    <t>ед.</t>
  </si>
  <si>
    <t>2.1.4</t>
  </si>
  <si>
    <t>Отсутствие детского травматизма в урочное время</t>
  </si>
  <si>
    <t>2.1.5</t>
  </si>
  <si>
    <t>Увеличение числа автобусов, соответствующих требованиям безопасной и комфортной перевозки детей</t>
  </si>
  <si>
    <t>Создать условия для получения детьми качественного образования в общеобразовательных учреждениях, обеспечить мониторинг качества</t>
  </si>
  <si>
    <t>2.2.1</t>
  </si>
  <si>
    <t>Доля средних и основных общеобразовательных школ, в которых действуют управляющие советы</t>
  </si>
  <si>
    <t>2.2.2</t>
  </si>
  <si>
    <t>Доля педагогов, прошедших курсовую подготовку (не менее 1 раза в 5 лет), в том числе по ФГОС нового поколения</t>
  </si>
  <si>
    <t>2.2.3</t>
  </si>
  <si>
    <t>Доля учителей государственных (муниципальных) общеобразовательных учреждений, имеющих стаж педагогической работы до 5 лет, в общей численности учителей государственных (муниципальных) общеобразовательных учреждений</t>
  </si>
  <si>
    <t>2.2.4</t>
  </si>
  <si>
    <t>Доля обучающихся в государственных (муниципальных) общеобразовательных организациях, занимающихся во вторую (третью) смену, в общей численности обучающихся в государственных (муниципальных)  общеобразовательных организаций</t>
  </si>
  <si>
    <t>2.2.5</t>
  </si>
  <si>
    <t xml:space="preserve">Доля  обучающихся общеобразовательных учреждений, охваченных психолого-педагогической и медико-социальной помощью, от общей численности  обучающихся общеобразовательных учреждений </t>
  </si>
  <si>
    <t>2.2.6</t>
  </si>
  <si>
    <t>Доля выпускников муниципальных общеобразовательных организаций, не сдавших единый государственный экзамен, в общей численности выпускников государственных (муниципальных) общеобразовательных организаций и не получивших аттестат о среднем образовании</t>
  </si>
  <si>
    <t>2.2.7</t>
  </si>
  <si>
    <t>Доля выпускников 9-х классов, успешно прошедших государственную итоговую аттестацию,  осуществляемую внешними экзаменационными комиссиями по русскому языку</t>
  </si>
  <si>
    <t>2.2.8</t>
  </si>
  <si>
    <t>Доля выпускников 9-х классов, успешно прошедших государственную итоговую аттестацию,  осуществляемую внешними экзаменационными комиссиями по математике</t>
  </si>
  <si>
    <t>2.2.9</t>
  </si>
  <si>
    <t>Доля учащихся, принимающих участие в итоговых контрольных работах по русскому языку и математике в 4-х классах</t>
  </si>
  <si>
    <t>2.2.10</t>
  </si>
  <si>
    <t>Доля детей с ограниченными возможностями здоровья и детей-инвалидов, получающихся качественное общее образование с использованием современного оборудования ( в том числе с использованием дистанционных образовательных технологий), от общей численности детей с ограниченными возможностями здоровья и детей-инвалидов школьного возраста</t>
  </si>
  <si>
    <t>Создать условия для получения детьми качественного дополнительного образования, выявления и поддержки  одаренных детей</t>
  </si>
  <si>
    <t>2.3.1</t>
  </si>
  <si>
    <t>Удельный вес численности детей, получающих услуги дополнительного образования, в общей численности детей в возрасте 7–18 лет</t>
  </si>
  <si>
    <t>2.3.2</t>
  </si>
  <si>
    <r>
      <t>Доля школьников, привлеченных к участию в спортивно-массовых мероприятиях</t>
    </r>
    <r>
      <rPr>
        <i/>
        <sz val="11"/>
        <rFont val="Times New Roman"/>
        <family val="1"/>
        <charset val="204"/>
      </rPr>
      <t xml:space="preserve"> </t>
    </r>
  </si>
  <si>
    <t>2.3.3</t>
  </si>
  <si>
    <t>Доля школьников 5-11 классов, включенных в учебно-исследовательскую, проектную деятельность к общему числу этой категории</t>
  </si>
  <si>
    <t>Содействовать выявлению и поддержке одаренных детей</t>
  </si>
  <si>
    <t>2.4.1</t>
  </si>
  <si>
    <t xml:space="preserve">Удельный вес численности обучающихся по программам общего образования, участвующих в олимпиадах и конкурсах различного уровня, 
в общей численности обучающихся по программам общего образования
</t>
  </si>
  <si>
    <t>Задача 3. Создание равных возможностей и условий для современного качественного образования, позитивной социализации и оздоровления детей в период каникул</t>
  </si>
  <si>
    <t>Подпрограмма 3 «Обеспечение безопасного качественного отдыха и оздоровления детей в период каникул»</t>
  </si>
  <si>
    <t>Обеспечить безопасный, комфортный и качественный отдых в летний период</t>
  </si>
  <si>
    <t>3.1.1</t>
  </si>
  <si>
    <t>Доля оздоровленных детей школьного возраста</t>
  </si>
  <si>
    <t xml:space="preserve">Обеспечить организацию и проведение мероприятий для детей и молодежи по направлениям (нравственно-патриотическое, спортивно-оздоровительное, социальное) </t>
  </si>
  <si>
    <t>3.2.1</t>
  </si>
  <si>
    <t>Доля детей школьного возраста, вовлеченных в городские массовые мероприятия от общего числа детей школьного возраста</t>
  </si>
  <si>
    <t>3.2.2</t>
  </si>
  <si>
    <t>Доля детей (6-14 лет), состоящих на учете в ОУУПи ДН, вовлеченных в городские массовые мероприятия, от общего числа детей состоящих на учете в ОУУПи ДН, данного возраста</t>
  </si>
  <si>
    <t>Задача 4. Создание условий для эффективного управления отраслью</t>
  </si>
  <si>
    <t>Подпрограмма 4 «Обеспечение реализации муниципальной программы и прочие мероприятия в области образования»</t>
  </si>
  <si>
    <t>Организация деятельности отдела образования, учреждений, обеспечивающих деятельность образовательных учреждений, направленной на эффективное управление отраслью</t>
  </si>
  <si>
    <t>4.1.1</t>
  </si>
  <si>
    <t>Фактические расходы на материальное обеспечение образовательного процесса на одного учащегося</t>
  </si>
  <si>
    <t>руб</t>
  </si>
  <si>
    <t>4.1.2.</t>
  </si>
  <si>
    <t>Среднемесячная номинальная начисленная заработная плата учителей муниципальных общеобразовательных учреждений</t>
  </si>
  <si>
    <t>4.1.3.</t>
  </si>
  <si>
    <t>Среднемесячная номинальная начисленная заработная плата прочего персонала (административно-управленческого, учебно-вспомогательного, младшего обслуживающего персонала, а также, педагогических работников, не осуществляющих учебный процесс)</t>
  </si>
  <si>
    <t>4.1.4.</t>
  </si>
  <si>
    <t>Средняя наполняемость классов в городских школах</t>
  </si>
  <si>
    <t>человек</t>
  </si>
  <si>
    <t>4.1.5.</t>
  </si>
  <si>
    <t>Средняя наполняемость классов в сельской школе</t>
  </si>
  <si>
    <t>4.1.6.</t>
  </si>
  <si>
    <t>Соотношение численности учителей (среднегодовой) государственных (муниципальных) общеобразовательных учреждений и численности прочего персонала (среднегодовой) (административно-управленческого, учебно-вспомогательного, младшего обслуживающего персонала, а также педагогических работников, не осуществляющих учебный процесс)</t>
  </si>
  <si>
    <t>доля</t>
  </si>
  <si>
    <t>4.1.7.</t>
  </si>
  <si>
    <t>Количество проведенных в соответствии с законодательством процедур проверок</t>
  </si>
  <si>
    <t>4.1.8.</t>
  </si>
  <si>
    <r>
      <t xml:space="preserve">Своевременное доведение  распорядителем лимитов бюджетных обязательств до подведомственных учреждений, предусмотренных решением о бюджете за отчетный год  </t>
    </r>
    <r>
      <rPr>
        <i/>
        <sz val="12"/>
        <rFont val="Times New Roman"/>
        <family val="1"/>
        <charset val="204"/>
      </rPr>
      <t>(Отдел образования администрации города, МСКУ "МЦБ")</t>
    </r>
    <r>
      <rPr>
        <sz val="12"/>
        <rFont val="Times New Roman"/>
        <family val="1"/>
        <charset val="204"/>
      </rPr>
      <t xml:space="preserve">
</t>
    </r>
  </si>
  <si>
    <t>балл</t>
  </si>
  <si>
    <t>Финансовое управление администрации города Дивногорска</t>
  </si>
  <si>
    <t>4.1.9.</t>
  </si>
  <si>
    <r>
      <t xml:space="preserve">Соблюдение сроков предоставления  бюджетной отчетности </t>
    </r>
    <r>
      <rPr>
        <i/>
        <sz val="12"/>
        <rFont val="Times New Roman"/>
        <family val="1"/>
        <charset val="204"/>
      </rPr>
      <t>(МСКУ "МЦБ")</t>
    </r>
  </si>
  <si>
    <t>4.1.10.</t>
  </si>
  <si>
    <r>
      <t xml:space="preserve">Своевременность  утверждения муниципальных заданий  подведомственным  распорядителю учреждениям на текущий финансовый год и плановый период в срок, установленный в Положении о порядке и условиях формирования муниципального задания в отношении муниципальных учреждений, финансового обеспечения и оценки выполнения муниципального задания, утвержденного Постановлением администрации города Дивногорска от 24.12.2012 N 264п </t>
    </r>
    <r>
      <rPr>
        <i/>
        <sz val="12"/>
        <rFont val="Times New Roman"/>
        <family val="1"/>
        <charset val="204"/>
      </rPr>
      <t>(Отдел образования администрации города, МСКУ "МЦБ")</t>
    </r>
  </si>
  <si>
    <t>4.1.11.</t>
  </si>
  <si>
    <r>
      <t xml:space="preserve">Своевременность утверждения планов финансово-хозяйственной деятельности подведомственных распорядителю учреждений на текущий финансовый год и плановый период в соответствии со  сроками, утвержденными органами исполнительной власти Красноярского края, осуществляющими функции и полномочия учредителя </t>
    </r>
    <r>
      <rPr>
        <i/>
        <sz val="12"/>
        <rFont val="Times New Roman"/>
        <family val="1"/>
        <charset val="204"/>
      </rPr>
      <t>(Отдел образования администрации города, МСКУ "МЦБ")</t>
    </r>
  </si>
  <si>
    <t>4.1.12.</t>
  </si>
  <si>
    <t xml:space="preserve">Своевременность предоставления уточненного фрагмента реестра расходных обязательств распорядителя (МСКУ "МЦБ")
</t>
  </si>
  <si>
    <t>4.1.13.</t>
  </si>
  <si>
    <t>Уровень исполнения расходов распорядителя за счет средств местного бюджета (без учета межбюджетных трансфертов)(Отдел образования администрации города, МСКУ "МЦБ")</t>
  </si>
  <si>
    <t>4.1.14.</t>
  </si>
  <si>
    <t>Доля исполненных бюджетных ассигнований, предусмотренных в программном виде (Отдел образования администрации города, МСКУ "МЦБ")</t>
  </si>
  <si>
    <t>4.1.15</t>
  </si>
  <si>
    <t>Качество порядка составления, утверждения и ведения бюдетных смет и ПФХД обслуживаемых учреждений (МСКУ "МЦБ")</t>
  </si>
  <si>
    <t>4.1.16.</t>
  </si>
  <si>
    <t>Оценка качества планирования бюджетных ассигнований (МСКУ "МЦБ")</t>
  </si>
  <si>
    <t>4.1.17.</t>
  </si>
  <si>
    <t>Наличие у распорядителя и обслуживаемых учреждений просроченной кредиторской задолженности и нереальной к взысканию дебиторской задолженности (МСКУ "МЦБ")</t>
  </si>
  <si>
    <t>4.1.18.</t>
  </si>
  <si>
    <t>Отсутствие нарушений бюджетного законадательства, выявленных в ходе проведения внешних контрольных мероприятий в отчетном финансовом году (Отдел образования администрации города, МСКУ "МЦБ")</t>
  </si>
  <si>
    <t>Обеспечить реализацию мероприятий, направленных на развитие семейных форм воспитания детей-сирот и детей, оставшихся без попечения родителей</t>
  </si>
  <si>
    <t>4.2.1.</t>
  </si>
  <si>
    <t>Численность детей, оставшихся без попечения родителей, переданных на воспитание в замещающие семьи (опека, приемная семья, усыновление), в том числе   переданных на воспитание в семьи посторонних граждан.</t>
  </si>
  <si>
    <t>4.2.2.</t>
  </si>
  <si>
    <t>Количество детей-сирот и детей, оставшихся без попечения родителей, лиц из числа детей-сирот и детей, оставшихся без попечения родителей, не имеющих закрепленного жилого помещения, в том числе поставленных на учет на получение жилого помещения в министерстве образования и науки Красноярского края, включая лиц в возрасте от 23 лет и старше, обеспеченных жилыми помещениями за отчетный год</t>
  </si>
  <si>
    <t>чел.</t>
  </si>
  <si>
    <t>127(6)</t>
  </si>
  <si>
    <t>125(5)</t>
  </si>
  <si>
    <t>123(7)</t>
  </si>
  <si>
    <t>85(57)</t>
  </si>
  <si>
    <t>87(59)</t>
  </si>
  <si>
    <t>87(55)</t>
  </si>
  <si>
    <t>89(57)</t>
  </si>
  <si>
    <t xml:space="preserve">Приложение № 2
к Паспорту муниципальной программы  
 «Система образования города Дивногорска» </t>
  </si>
  <si>
    <t>Значение целевых показателей на долгосрочный период</t>
  </si>
  <si>
    <t>Цели, целевые показатели</t>
  </si>
  <si>
    <t>2010 год</t>
  </si>
  <si>
    <t>2012 год</t>
  </si>
  <si>
    <t>2013 год</t>
  </si>
  <si>
    <t>плановый период</t>
  </si>
  <si>
    <t>долгосрочный период</t>
  </si>
  <si>
    <t>2023 год</t>
  </si>
  <si>
    <t>ю</t>
  </si>
  <si>
    <t>Приложение № 1 
к Паспорту  подпрограммы 1 «Дошкольное образование  детей»</t>
  </si>
  <si>
    <t>Перечень целевых индикаторов подпрограммы</t>
  </si>
  <si>
    <t>Цель, целевые индикаторы</t>
  </si>
  <si>
    <t>Цель: создание в системе дошкольного образования равных возможностей для современного качественного образования, позитивной социализации и оздоровления детей</t>
  </si>
  <si>
    <t>Задача № 1 Обеспечить доступность дошкольного образования, соответствующего единому стандарту качества дошкольного образования</t>
  </si>
  <si>
    <t>1.1</t>
  </si>
  <si>
    <t>1.2</t>
  </si>
  <si>
    <t>1.3</t>
  </si>
  <si>
    <t>Удельный вес воспитанников дошкольных образовательных организаций, расположенных на территории города Дивногорска, обучающихся по программам, соответствующим требованиям стандартов дошкольного образования, в общей численности воспитанников дошкольных образовательных организаций, расположенных на территории города Дивногорска</t>
  </si>
  <si>
    <t>1.4</t>
  </si>
  <si>
    <r>
      <t xml:space="preserve">Удельный вес дошкольных образовательных организаций, в которых оценка их деятельности, а также их руководителей и основных категорий работников осуществляется на основании показателей эффективности деятельности подведомственных муниципальных дошкольных образовательных организаций </t>
    </r>
    <r>
      <rPr>
        <sz val="12"/>
        <color indexed="10"/>
        <rFont val="Times New Roman"/>
        <family val="1"/>
        <charset val="204"/>
      </rPr>
      <t>(попробуйте изменить формулировку, чтобы было общее понимание, что мониторим)</t>
    </r>
  </si>
  <si>
    <t>Г.В. Кабацура</t>
  </si>
  <si>
    <t>Приложение № 2
к Паспорту  подпрограммы 1 «Дошкольное образование детей»</t>
  </si>
  <si>
    <t>Перечень мероприятий подпрограммы с указанием объема средств на их реализацию и ожидаемых результатов</t>
  </si>
  <si>
    <t xml:space="preserve">Цели, задачи, мероприятия </t>
  </si>
  <si>
    <t>Ожидаемый результат от реализации подпрограммного мероприятия 
(в натуральном выражении)</t>
  </si>
  <si>
    <t>Обеспечение функционирования и  развития учреждений, обеспечивающих получение дошкольного образования в дошкольных образовательных учреждениях</t>
  </si>
  <si>
    <t>отдел образования администрации города Дивногорска</t>
  </si>
  <si>
    <t>0701</t>
  </si>
  <si>
    <t>0110080610</t>
  </si>
  <si>
    <t>611</t>
  </si>
  <si>
    <t>1726 детей получат услуги дошкольного образования</t>
  </si>
  <si>
    <t>612</t>
  </si>
  <si>
    <t>621</t>
  </si>
  <si>
    <t>622</t>
  </si>
  <si>
    <t>0110080710</t>
  </si>
  <si>
    <t>01100L0271</t>
  </si>
  <si>
    <t>01100S3980</t>
  </si>
  <si>
    <t>Обеспечение функционирования и  развития учреждений, обеспечивающих получение дошкольного образования в дошкольных образовательных учреждениях(кр.б.)</t>
  </si>
  <si>
    <t xml:space="preserve">975 </t>
  </si>
  <si>
    <t>0110073980</t>
  </si>
  <si>
    <t>0110075880</t>
  </si>
  <si>
    <t>870</t>
  </si>
  <si>
    <t>0110074080</t>
  </si>
  <si>
    <t>011001047А</t>
  </si>
  <si>
    <t>011001047Б</t>
  </si>
  <si>
    <t>0110077440</t>
  </si>
  <si>
    <t>011022</t>
  </si>
  <si>
    <t>Обеспечение функционирования и  развития учреждений, обеспечивающих получение дошкольного образования в дошкольных образовательных учреждениях (род.плата)</t>
  </si>
  <si>
    <t>Приведение муниципальных образовательных учреждений в соответствие требованиям правил пожарной безопасности, строительным нормам и правилам, санитарным нормам и правилам (кр.бюджет)</t>
  </si>
  <si>
    <t>0117746</t>
  </si>
  <si>
    <t>12 зданий ДОУ соответствуют требованиям правил пожарной безопасности, строительным нормам и правилам, санитарным нормам и правилам</t>
  </si>
  <si>
    <t>0117744</t>
  </si>
  <si>
    <t>Приведение муниципальных образовательных учреждений в соответствие требованиям правил пожарной безопасности, строительным нормам и правилам, санитарным нормам и правилам (местный бюджет)</t>
  </si>
  <si>
    <t>0118746</t>
  </si>
  <si>
    <t xml:space="preserve">Финансирование (возмещение) расходов на выплаты воспитателям в муниципальных образовательных учреждениях, реализующих основную общеобразовательную программу дошкольного образования детей, </t>
  </si>
  <si>
    <t>01100S5580</t>
  </si>
  <si>
    <t>Выплата компенсации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 детей</t>
  </si>
  <si>
    <t>1004</t>
  </si>
  <si>
    <t>0110075560</t>
  </si>
  <si>
    <t>320</t>
  </si>
  <si>
    <t xml:space="preserve">Компенсацию части родительской платы получат в 2017 году 742 человека
</t>
  </si>
  <si>
    <t>244</t>
  </si>
  <si>
    <t>1.1.5</t>
  </si>
  <si>
    <t xml:space="preserve">Обеспечение содержания в муниципальных дошкольных образовательных учреждениях (группах) детей без взимания родительской платы </t>
  </si>
  <si>
    <t>0110075540</t>
  </si>
  <si>
    <t xml:space="preserve">В 3 ДОУ города содержится  43 детей без взимания родительской платы </t>
  </si>
  <si>
    <t>1.1.6</t>
  </si>
  <si>
    <t>Создание дополнительных мест в системе дошкольного образования детей (кр.б.)</t>
  </si>
  <si>
    <t>0117421</t>
  </si>
  <si>
    <t xml:space="preserve">Введено  135 дополнительных  мест для детей дошкольного возраста, в том  числе по годам:    
2014 - 84 мест;   
2015 - 51 мест    
</t>
  </si>
  <si>
    <t>0115059</t>
  </si>
  <si>
    <t>1.1.7</t>
  </si>
  <si>
    <t>Создание дополнительных мест в системе дошкольного образования детей (м.б.)</t>
  </si>
  <si>
    <t>0118421</t>
  </si>
  <si>
    <t>1.1.8</t>
  </si>
  <si>
    <t xml:space="preserve">Участие в краевом конкурсе "Детские сады-детям". Получение субсидии  бюджету муниципального образования г.Дивногорск на денежное поощрение детским садам-победителям конкурса </t>
  </si>
  <si>
    <t>0118099</t>
  </si>
  <si>
    <t>Участие в конкурсе на получение денежных премий лучшими воспитателями образовательных учреждений, реализующих основную общеобразовательную программу дошкольного образования,  денежных премий лучшим детским садам, денежных премий лучшим педагогическим коллективам детских садов.</t>
  </si>
  <si>
    <t>1.1.9</t>
  </si>
  <si>
    <t xml:space="preserve">Проведение мероприятий для дошкольников различной направленности (интеллектуальной, творческой, спортивной) </t>
  </si>
  <si>
    <t>0707</t>
  </si>
  <si>
    <t>0118811</t>
  </si>
  <si>
    <t xml:space="preserve">Ежегодно на муниципальном уровне проводится 3 мероприятия, с общим числом участников не менее 1000 человек </t>
  </si>
  <si>
    <t>Итого по задаче 1</t>
  </si>
  <si>
    <t>Всего по подпрограмме, в том числе:</t>
  </si>
  <si>
    <t>краевой бюджет</t>
  </si>
  <si>
    <t>местный бюджет</t>
  </si>
  <si>
    <t>внебюджет</t>
  </si>
  <si>
    <t>4.1.2</t>
  </si>
  <si>
    <t>4.1.3</t>
  </si>
  <si>
    <t>4.1.4</t>
  </si>
  <si>
    <t>Приложение № 1 
к Паспорту  подпрограммы 2 «Общее и дополнительное образование детей»</t>
  </si>
  <si>
    <t>Цель:обеспечение потребности населения в качественном доступном общем и дополнительном образовании.</t>
  </si>
  <si>
    <t xml:space="preserve">Задача № 1 Создать безопасные и комфортные условия, соответствующие требованиям надзорных органов, в общеобразовательных учреждениях города Дивногорска. </t>
  </si>
  <si>
    <t>Доля образовательных учреждений, в которых произведен выборочный капитальный ремонт зданий и сооружений</t>
  </si>
  <si>
    <t>1.5</t>
  </si>
  <si>
    <t>Задача № 2. Создать условия для получения детьми качественного образования в общеобразовательных учреждениях, обеспечить мониторинг качества.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</si>
  <si>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</si>
  <si>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</si>
  <si>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</si>
  <si>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</si>
  <si>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</si>
  <si>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</si>
  <si>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</si>
  <si>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</si>
  <si>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</si>
  <si>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</si>
  <si>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Задача № 3. Создать условия для получения детьми качественного дополнительного образования, выявления и поддержки  одаренных детей</t>
  </si>
  <si>
    <t>3.1</t>
  </si>
  <si>
    <t>3.2</t>
  </si>
  <si>
    <r>
      <t>Доля школьников, привлеченных к участию в спортивных и культурно-массовых мероприятиях</t>
    </r>
    <r>
      <rPr>
        <i/>
        <sz val="11"/>
        <rFont val="Times New Roman"/>
        <family val="1"/>
        <charset val="204"/>
      </rPr>
      <t xml:space="preserve"> </t>
    </r>
    <r>
      <rPr>
        <i/>
        <sz val="11"/>
        <color indexed="10"/>
        <rFont val="Times New Roman"/>
        <family val="1"/>
        <charset val="204"/>
      </rPr>
      <t/>
    </r>
  </si>
  <si>
    <t>3.3</t>
  </si>
  <si>
    <t>Удельный вес численности обучающихся по программам общего образования, участвующих в олимпиадах и конкурсах различного уровня, в общей численности обучающихся по программам общего образования</t>
  </si>
  <si>
    <t>3.4</t>
  </si>
  <si>
    <t>Приложение № 2
к Паспорту  подпрограммы 2 «Общее и дополнительное образование детей»</t>
  </si>
  <si>
    <t>Цель: обеспечение потребности населения в качественном доступном общем и дополнительном образовании.</t>
  </si>
  <si>
    <t>Приведение муниципальных общеобразовательных учреждений в соответствие требованиям правил пожарной безопасности, строительным нормам и правилам, санитарным нормам и правилам (кр.б.)</t>
  </si>
  <si>
    <t>0702</t>
  </si>
  <si>
    <t>0127744</t>
  </si>
  <si>
    <t>612,622,244</t>
  </si>
  <si>
    <t>87,5% общеобразовательных организаций соответствуют требованиям действующего законодательства (ППБ 01-03, СанПиН, СНиП), от общего числа школ</t>
  </si>
  <si>
    <t>Подготовка образовательных учреждений к новому учебному году</t>
  </si>
  <si>
    <t>0120080610</t>
  </si>
  <si>
    <t>7 общеобразовательных учреждений и 2 учреждения дополнительного образования приняты муниципальной комиссией к началу нового учебного года</t>
  </si>
  <si>
    <t>0120075630</t>
  </si>
  <si>
    <t>01200S5630</t>
  </si>
  <si>
    <t>012E24300</t>
  </si>
  <si>
    <t>012E2S4300</t>
  </si>
  <si>
    <t>0120078400</t>
  </si>
  <si>
    <t>622,612</t>
  </si>
  <si>
    <t>01200S8400</t>
  </si>
  <si>
    <t>0120088130</t>
  </si>
  <si>
    <t>Обеспечение питанием детей из малообеспеченных семей, обучающихся в муниципальных общеобразовательных учреждениях</t>
  </si>
  <si>
    <t>1003</t>
  </si>
  <si>
    <t>0120075660</t>
  </si>
  <si>
    <t>100% детей из малообеспеченных семей, обучающихся в муниципальных общеобразовательных учреждениях опеспечены горячим питанием</t>
  </si>
  <si>
    <t>0120089150</t>
  </si>
  <si>
    <t>Cубсидия на проведение мероприятий по формированию сети общеобразовательных организаций, в которых созданы условия для инклюзивного образования детей-инвалидов</t>
  </si>
  <si>
    <t>0125027</t>
  </si>
  <si>
    <t>Софинансирование субсидии на проведение мероприятий по формированию сети общеобразовательных организаций, в которых созданы условия для инклюзивного образования детей-инвалидов</t>
  </si>
  <si>
    <t>0128027</t>
  </si>
  <si>
    <t>2.1.6</t>
  </si>
  <si>
    <t>Расходы на проведение мероприятий, направленных на обеспечение безопасного участия детей в дорожном движении</t>
  </si>
  <si>
    <t>012R373980</t>
  </si>
  <si>
    <t>612,622</t>
  </si>
  <si>
    <t>конкурсная основа участия</t>
  </si>
  <si>
    <t>2.1.7</t>
  </si>
  <si>
    <t>Софинансирование расходов на проведение мероприятий, направленных на обеспечение безопасного участия детей в дорожном движении</t>
  </si>
  <si>
    <t>01200S3980</t>
  </si>
  <si>
    <t>Финансирование расходов, необходимых на реализацию основных общеобразовательных программ муниципальными общеобразовательными учреждениями (местный бюджет)</t>
  </si>
  <si>
    <t>ежегодно более 3000  человек получат услуги общего образования</t>
  </si>
  <si>
    <t>0120080710</t>
  </si>
  <si>
    <t>0128072</t>
  </si>
  <si>
    <t>0128081</t>
  </si>
  <si>
    <t>01200S031P</t>
  </si>
  <si>
    <t>01200S031M</t>
  </si>
  <si>
    <t>0128082</t>
  </si>
  <si>
    <t>Финансирование расходов, необходимых на реализацию основных общеобразовательных программ муниципальными общеобразовательными учреждениями (краевой бюджет)</t>
  </si>
  <si>
    <t>0120075640</t>
  </si>
  <si>
    <t>0703</t>
  </si>
  <si>
    <t>0121022</t>
  </si>
  <si>
    <t>0120074090</t>
  </si>
  <si>
    <t>012001047А</t>
  </si>
  <si>
    <t>012001047Б</t>
  </si>
  <si>
    <t>012001047К</t>
  </si>
  <si>
    <t>Финансирование расходов, необходимых на реализацию основных общеобразовательных программ муниципальными общеобразовательными учреждениями (внебюджет)</t>
  </si>
  <si>
    <r>
      <t xml:space="preserve">Реализация приоритетного национального проекта «Образование»  в части выплаты вознаграждения за классное руководство в муниципальных общеобразовательных учреждениях, </t>
    </r>
    <r>
      <rPr>
        <sz val="12"/>
        <color indexed="60"/>
        <rFont val="Times New Roman"/>
        <family val="1"/>
        <charset val="204"/>
      </rPr>
      <t>икключить</t>
    </r>
  </si>
  <si>
    <r>
      <rPr>
        <sz val="12"/>
        <color indexed="10"/>
        <rFont val="Times New Roman"/>
        <family val="1"/>
        <charset val="204"/>
      </rPr>
      <t>Разве классным руководителям не платят из краевого бюджета???</t>
    </r>
    <r>
      <rPr>
        <sz val="12"/>
        <rFont val="Times New Roman"/>
        <family val="1"/>
        <charset val="204"/>
      </rPr>
      <t xml:space="preserve"> 120 человек ежегодно будут получать ежемесячное вознаграждение за счет средств краевого бюджета</t>
    </r>
  </si>
  <si>
    <t>Обеспечение функционирования и  развития учреждения, обеспечивающего  организацию повышения квалификации кадров, мониторинга качества образования, организацию проведения государственной итоговой аттестации (МКУ ГИМЦ)</t>
  </si>
  <si>
    <t>0709</t>
  </si>
  <si>
    <r>
      <rPr>
        <sz val="12"/>
        <color indexed="10"/>
        <rFont val="Times New Roman"/>
        <family val="1"/>
        <charset val="204"/>
      </rPr>
      <t>Финансирование ГИМЦ прописано в 4й программе, думаю, здесь надо исключить эту позицию</t>
    </r>
    <r>
      <rPr>
        <sz val="12"/>
        <rFont val="Times New Roman"/>
        <family val="1"/>
        <charset val="204"/>
      </rPr>
      <t>. ежегодно 250 педагогов повышают квалификацию, проведены 20 мероприятий с численностью участников 1600 человек, функционируют не менее 15 различных форм педагогических объединений; обеспечение мониторинга качества образования, а также проведение государственной итоговой аттестации выпускников общеобразовательных учреждений в установленные сроки</t>
    </r>
  </si>
  <si>
    <t>Организация муниципальных профессиональных конкурсов  (премии призерам и победителям)</t>
  </si>
  <si>
    <t>Из сметы ГИМЦ (360 вид расхода)</t>
  </si>
  <si>
    <t>Распространение современных организационно-правовых моделей, обеспечивающих успешную социализацию детей с ограниченными возможностями здоровья и детей-инвалидов</t>
  </si>
  <si>
    <t>Ожидаются федеральные средства</t>
  </si>
  <si>
    <t>Софинансирование ФЦПРО</t>
  </si>
  <si>
    <t>ФМО 5210212</t>
  </si>
  <si>
    <t>строки необходимо оставить, т.к. на эти мероприятия были заявки на получение средств</t>
  </si>
  <si>
    <r>
      <t xml:space="preserve">Организация и проведение учебно-полевых сборов для учащихся (мальчиков) 10-х классов школ города Дивногорска </t>
    </r>
    <r>
      <rPr>
        <sz val="12"/>
        <color indexed="10"/>
        <rFont val="Times New Roman"/>
        <family val="1"/>
        <charset val="204"/>
      </rPr>
      <t xml:space="preserve"> (ТАНЯ! НАДО ПЕРЕНЕСТИ ДЕНЬГИ по 2014 и 2015 годам в раздел по реализации общеобраз. Программ. А пункт этот вообще убрать</t>
    </r>
  </si>
  <si>
    <t>Отдел образования администрации города Дивногорска (МКУ О(С)ОШ №1)</t>
  </si>
  <si>
    <t>0128061</t>
  </si>
  <si>
    <t>деньги перенесла в финансирование расходов, необходимых на реализацию основных общеобразовательных программ муниципальными общеобразовательными учреждениями (местный бюджет)</t>
  </si>
  <si>
    <t xml:space="preserve">Оборудование военно-спортивной полосы препятствий </t>
  </si>
  <si>
    <r>
      <rPr>
        <sz val="12"/>
        <color indexed="10"/>
        <rFont val="Times New Roman"/>
        <family val="1"/>
        <charset val="204"/>
      </rPr>
      <t>ДУМАЮ, ЭТО УЖЕ СДЕЛАНО и НАДО ИСКЛЮЧИТЬ?</t>
    </r>
    <r>
      <rPr>
        <sz val="12"/>
        <rFont val="Times New Roman"/>
        <family val="1"/>
        <charset val="204"/>
      </rPr>
      <t xml:space="preserve"> 87 учащихся 7 школ города изучают курс НВП и ОБЖ, 350 учащихся проходят подготовку к проведению спортивных соревнований</t>
    </r>
  </si>
  <si>
    <t>Итого по задаче 2</t>
  </si>
  <si>
    <t>3.3.1</t>
  </si>
  <si>
    <t>Обеспечение развития и стабильного функционирования муниципальных учреждений дополнительного образования детей(местный бюджет)</t>
  </si>
  <si>
    <t>0120080620</t>
  </si>
  <si>
    <t>В учреждениях дополнительного образования  дополнительным образованием охвачено до 93% от общего количества детей возраста от 7 до 18 лет</t>
  </si>
  <si>
    <t>01200S031М</t>
  </si>
  <si>
    <t>0120010420</t>
  </si>
  <si>
    <t>0120010480</t>
  </si>
  <si>
    <t>01200R0271</t>
  </si>
  <si>
    <t>01200S0271</t>
  </si>
  <si>
    <t>Обеспечение развития и стабильного функционирования муниципальных учреждений дополнительного образования детей (внебюджет)</t>
  </si>
  <si>
    <t>3.3.2</t>
  </si>
  <si>
    <t xml:space="preserve">Проведение мероприятий интеллектуальной направленности </t>
  </si>
  <si>
    <t>Отдел образования администрации города Дивногорска МКУ ГИМЦ</t>
  </si>
  <si>
    <r>
      <rPr>
        <sz val="12"/>
        <color indexed="1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Проведено 3 мероприятия с общей численностью участников не менее 500 человек. Ежегодно не менее 40 учащихся общеобразовательных   учреждений подготовлены к региональному этапу всероссийской олимпиады школьников, не менее 20 школьников образовательных учреждений приняли участие во всероссийских научно-практических конференциях и других мероприятиях интеллектуальной направленности регионального и ферального уровней</t>
    </r>
  </si>
  <si>
    <t>3.3.3</t>
  </si>
  <si>
    <t xml:space="preserve">Проведение мероприятий творческой направленности </t>
  </si>
  <si>
    <t>0128811</t>
  </si>
  <si>
    <t xml:space="preserve">Проведено 5 мероприятий с общей численностью  участников свыше 1000 человек. </t>
  </si>
  <si>
    <t>3.3.4</t>
  </si>
  <si>
    <t xml:space="preserve">Индивидуальное сопровождение победителей и призеров муниципального этапа всероссийской олимпиады школьников; обеспечение участия учащихся и сопровождающих их лиц в  круглогодичных школах, летних профильных сменах, пленэрах, тренингах  и конкурсах для интеллектуально одаренных детей и детей одарённых  в области культуры и искусства, организованных на территории Красноярского края и за его пределами </t>
  </si>
  <si>
    <r>
      <rPr>
        <sz val="12"/>
        <color indexed="10"/>
        <rFont val="Times New Roman"/>
        <family val="1"/>
        <charset val="204"/>
      </rPr>
      <t>ПОСОВЕТОВАТЬСЯ С ПОЛЕЖАЕВОЙ, о необходимости этих позиций???</t>
    </r>
    <r>
      <rPr>
        <sz val="12"/>
        <color indexed="8"/>
        <rFont val="Times New Roman"/>
        <family val="1"/>
        <charset val="204"/>
      </rPr>
      <t xml:space="preserve"> Обеспечена подготовка и сопровождение 80 учащихся на различные выездные олимпиады и конкурсы</t>
    </r>
  </si>
  <si>
    <t>Отдел физической культуры, спорта и молодежной политики администрации города Дивногорска</t>
  </si>
  <si>
    <t>Отдел культуры и искусства администрации города Дивногорска</t>
  </si>
  <si>
    <t>0804</t>
  </si>
  <si>
    <t xml:space="preserve">Организация и проведение церемонии награждения денежными премиями учащихся, показавших высокие результаты  в учебе, олимпиадах, конференциях, творческих конкурсах, спортивных соревнованиях, и их педагогов </t>
  </si>
  <si>
    <t>МКУ ГИМЦ</t>
  </si>
  <si>
    <t>350</t>
  </si>
  <si>
    <t xml:space="preserve">Ежегодно не менее 45 одаренных и талантливых детей получают премию в размере от 1500 до 6000 рублей </t>
  </si>
  <si>
    <t>3.3.5</t>
  </si>
  <si>
    <t xml:space="preserve">Участие в краевом конкурсе муниципальных программ по работе с одаренными детьми </t>
  </si>
  <si>
    <t>0128898</t>
  </si>
  <si>
    <t>Итого по задаче 3</t>
  </si>
  <si>
    <t xml:space="preserve">Всего по подпрограмме в т.ч.: </t>
  </si>
  <si>
    <t xml:space="preserve">Начальник отдела образования администрации города Дивногорска </t>
  </si>
  <si>
    <t>Приложение 1
к паспорту подпрограммы 3 «Обеспечение безопасного качественного отдыха и оздоровления детей в период каникул"</t>
  </si>
  <si>
    <t>Цель: создание равных возможностей и условий для современного качественного образования, позитивной социализации и оздоровления детей в период каникул.</t>
  </si>
  <si>
    <t>Задача №1. Обеспечить безопасный, комфортный и качественный отдых в летний период</t>
  </si>
  <si>
    <t>3.1.1.</t>
  </si>
  <si>
    <r>
      <t>Доля оздоровленных</t>
    </r>
    <r>
      <rPr>
        <u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детей школьного возраста </t>
    </r>
  </si>
  <si>
    <t xml:space="preserve">Задача № 2. Обеспечить организацию и проведение мероприятий для детей и молодежи по направлениям (нравственно-патриотическое, спортивно-оздоровительное, социальное) </t>
  </si>
  <si>
    <t>3.2.1.</t>
  </si>
  <si>
    <t xml:space="preserve">Доля детей школьного возраста, вовлеченных в городские массовые мероприятия от общего числа детей школьного возраста </t>
  </si>
  <si>
    <t>3.2.2.</t>
  </si>
  <si>
    <t>Приложение № 2
к Паспорту  подпрограммы 3 «Обеспечение безопасного качественного отдыха и оздоровления детей в период каникул»</t>
  </si>
  <si>
    <t>0220466</t>
  </si>
  <si>
    <t xml:space="preserve">Задача № 1. Обеспечить безопасный, комфортный и качественный отдых в летний период. </t>
  </si>
  <si>
    <t>1.1.</t>
  </si>
  <si>
    <t>Содержание летних оздоровительных лагерей с дневным пребыванием детей ( приобретение канц. товаров, приобретение игрового и спортивного инвентаря, приобретение медицинских аптечек и витаминных препаратов, приобретение дезинфицирующих средств)</t>
  </si>
  <si>
    <t>0138811</t>
  </si>
  <si>
    <t>ВНЕСЛА ДЕНЬГИ ИЗ СМЕТЫ по МЦП</t>
  </si>
  <si>
    <t>Ежегодное функционирование 6 летних оздоровительных лагерей с дневным пребыванием детей, соответствующих требованиям надзорных органов, для 820 детей</t>
  </si>
  <si>
    <r>
      <t>0138811; 013008397Г,</t>
    </r>
    <r>
      <rPr>
        <b/>
        <sz val="12"/>
        <rFont val="Times New Roman"/>
        <family val="1"/>
        <charset val="204"/>
      </rPr>
      <t xml:space="preserve">  01300S397Я, 01300S649J</t>
    </r>
  </si>
  <si>
    <t xml:space="preserve">Организация подготовки и содержание нестационарного (стационарного) палаточного лагеря </t>
  </si>
  <si>
    <t xml:space="preserve">Ежегодное функционирование 1 палаточного лагеря,  соответствующего требованиям надзорных органов, и обеспечение питанием не менее 60 детей; </t>
  </si>
  <si>
    <t>Проведение мероприятий, конкурсных программ, праздников, соревнований</t>
  </si>
  <si>
    <t xml:space="preserve">Ежегодное проведение мероприятий, конкурсных программ, праздников, соревнований для  6 летних оздоровительных лагерей с дневным пребыванием детей </t>
  </si>
  <si>
    <t>Субсидия на оплату стоимости набора продуктов питания или готовых блюд и их транспортировки в лагерях с дневным пребыванием детей, в рамках Государственной программы Красноярского края "Развитие образования" (кр.б.)</t>
  </si>
  <si>
    <t>0137582; 0130073970, 01300S649Д</t>
  </si>
  <si>
    <t>612;240;320</t>
  </si>
  <si>
    <t>Предоставлены средства для оплаты стоимости продуктов питания или готовых блюд и их транспортировки для 820 детей в летних оздоровительных лагерях с дневным пребыванием детей</t>
  </si>
  <si>
    <t>0137582; 0130073970</t>
  </si>
  <si>
    <t>Оплата стоимости набора продуктов питания или готовых блюд и их транспортировки (м.б.)</t>
  </si>
  <si>
    <r>
      <t>01300S397Г,</t>
    </r>
    <r>
      <rPr>
        <b/>
        <sz val="12"/>
        <rFont val="Times New Roman"/>
        <family val="1"/>
        <charset val="204"/>
      </rPr>
      <t xml:space="preserve"> 01300S649G</t>
    </r>
  </si>
  <si>
    <t>612; 240</t>
  </si>
  <si>
    <r>
      <t>01300S397Г,</t>
    </r>
    <r>
      <rPr>
        <b/>
        <sz val="12"/>
        <rFont val="Times New Roman"/>
        <family val="1"/>
        <charset val="204"/>
      </rPr>
      <t xml:space="preserve"> 01300S397Ю,01300S649U</t>
    </r>
  </si>
  <si>
    <t>622, 240</t>
  </si>
  <si>
    <t>Оплата стоимости набора продуктов питания или готовых блюд и их транспортировки, приобретение товарно-материальных ценностей (внебюджет)</t>
  </si>
  <si>
    <t>Расходы на выплату персоналу средств на оплату компенсации затрат на обеспечение деятельности специалистов, реализующих переданные государственные полномочия</t>
  </si>
  <si>
    <t>0130076490</t>
  </si>
  <si>
    <t>110</t>
  </si>
  <si>
    <t>Расходы на оплату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</t>
  </si>
  <si>
    <t>0137583;  013007397Д, 0130073970, 0130076490</t>
  </si>
  <si>
    <t>320,240</t>
  </si>
  <si>
    <t xml:space="preserve">Предоставлены средства для оплаты стоимости путёвок для детей в краевых государственных и негосударственных организациях отдыха, оздоровления и занятости детей, зарегистрированные на территории края, муниципальные загородные оздоровительные лагеря для </t>
  </si>
  <si>
    <t>1.6</t>
  </si>
  <si>
    <t>Софинансирование расходов на оплату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</t>
  </si>
  <si>
    <t>0130088790 01300S397Д, 01300S649D</t>
  </si>
  <si>
    <t>Оздоровлены в загородных лагерях не менее 259 детей</t>
  </si>
  <si>
    <t>1,9</t>
  </si>
  <si>
    <r>
      <t xml:space="preserve">Расходы на оплату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 </t>
    </r>
    <r>
      <rPr>
        <sz val="12"/>
        <color indexed="10"/>
        <rFont val="Times New Roman"/>
        <family val="1"/>
        <charset val="204"/>
      </rPr>
      <t>(ЭТО НЕ ОДНО И ТО ЖЕ, что и п. 1.8???)</t>
    </r>
  </si>
  <si>
    <t xml:space="preserve">Проведение мероприятий гражданско-патриотической направленности </t>
  </si>
  <si>
    <t xml:space="preserve">Проведено 4 мероприятия с общей численностью участников не менее 500 человек. </t>
  </si>
  <si>
    <t xml:space="preserve">Проведение мероприятий спортивно-оздоровительной направленности </t>
  </si>
  <si>
    <t xml:space="preserve">Проведен туристический слет с общей численностью участников не менее 150 человек. </t>
  </si>
  <si>
    <t xml:space="preserve">Проведение мероприятий по организации отдыха детей </t>
  </si>
  <si>
    <t>0130088780</t>
  </si>
  <si>
    <t>240</t>
  </si>
  <si>
    <t>01300888780</t>
  </si>
  <si>
    <t>Ожидаемый результат от реализации подпрограммного мероприятия (в натуральном выражении)</t>
  </si>
  <si>
    <t>Приложение № 1 
к Паспорту  подпрограммы 4 «Обеспечение реализации муниципальной программы и прочие мероприятия в области образования»</t>
  </si>
  <si>
    <t>Цель: создание условий для эффективного управления отраслью</t>
  </si>
  <si>
    <t>Задача 1 Организация деятельности отдела образования, учреждений, обеспечивающих деятельность образовательных учреждений, направленной на эффективное управление отраслью</t>
  </si>
  <si>
    <t>4.1.1.</t>
  </si>
  <si>
    <r>
      <t xml:space="preserve">Своевременность  утверждения муниципальных заданий  подведомственным  распорядителю учреждениям на текущий финансовый год и плановый период в срок, установленный в Положении о порядке и условиях формирования муниципального задания в отношении муниципальных учреждений, финансового обеспечения и оценки выполнения муниципального задания, утвержденного Постановлением администрации города Дивногорска от 24.12.2012 N 264п </t>
    </r>
    <r>
      <rPr>
        <i/>
        <sz val="12"/>
        <rFont val="Times New Roman"/>
        <family val="1"/>
        <charset val="204"/>
      </rPr>
      <t xml:space="preserve">(Отдел образования администрации города, МСКУ "МЦБ")
</t>
    </r>
    <r>
      <rPr>
        <sz val="12"/>
        <rFont val="Times New Roman"/>
        <family val="1"/>
        <charset val="204"/>
      </rPr>
      <t xml:space="preserve">
</t>
    </r>
  </si>
  <si>
    <t>1.11.</t>
  </si>
  <si>
    <t>финансовое управление администрации города Дивногорска</t>
  </si>
  <si>
    <t>Уровень исполнения расходов распорядителя за счет средств местного бюджета (без учета межбюджетных трансфертов) (Отдел образования администрации города, МСКУ "МЦБ")</t>
  </si>
  <si>
    <t>4.1.15.</t>
  </si>
  <si>
    <t>Задача 2 Обеспечить реализацию мероприятий, направленных на развитие семейных форм воспитания детей-сирот и детей, оставшихся без попечения родителей</t>
  </si>
  <si>
    <t>Численность детей, оставшихся без попечения родителей, переданных на воспитание в замещающие семьи (опека, приемная семья, усыновление), в том числе   переданных навоспитание в семьи посторонних граждан.</t>
  </si>
  <si>
    <t xml:space="preserve">чел. </t>
  </si>
  <si>
    <t>Приложение 2 
к паспорту подпрограммы 4 «Обеспечение реализации муниципальной программы и прочие мероприятия в области образования»</t>
  </si>
  <si>
    <t>Задача 1 Организация деятельности отдела образования,  учреждений, обеспечивающих деятельность образовательных учреждений, направленной на эффективное управление отраслью</t>
  </si>
  <si>
    <t>Руководство и управление в сфере установленных функций органов местного самоуправления</t>
  </si>
  <si>
    <t>0140080210</t>
  </si>
  <si>
    <t xml:space="preserve">Повышение эффективности управления муниципальными финансами и использования муниципального имущества в части вопросов реализации программы, совершенствование системы оплаты труда и мер социальной защиты и поддержки, повышение качества межведомственного взаимодействия </t>
  </si>
  <si>
    <t>244, 850</t>
  </si>
  <si>
    <t>0140080910</t>
  </si>
  <si>
    <t>0140010390</t>
  </si>
  <si>
    <t>0140010400</t>
  </si>
  <si>
    <t>014001047В</t>
  </si>
  <si>
    <t>014001047О</t>
  </si>
  <si>
    <t xml:space="preserve">Мероприятия по развитию и поддержке информационных баз данных системы образования </t>
  </si>
  <si>
    <t xml:space="preserve">отдел образования администрации города Дивногорска (МКУ ГИМЦ)- </t>
  </si>
  <si>
    <t>0140080220</t>
  </si>
  <si>
    <t>Функционируют  БД системы дошкольного, общего и дополнительного образовния, БД детей-сирот, сайт системы образования города</t>
  </si>
  <si>
    <t xml:space="preserve">Обеспечение деятельности (оказание услуг) подведомственных учреждений </t>
  </si>
  <si>
    <t xml:space="preserve">МСКУ "МЦБ"               </t>
  </si>
  <si>
    <t>014001047К</t>
  </si>
  <si>
    <t>Обеспечено бухгалтерское обслуживание 37 учреждений;</t>
  </si>
  <si>
    <t>0140080710</t>
  </si>
  <si>
    <t>Обеспечение деятельности (оказание услуг) подведомственных учреждений (ГИМЦ)</t>
  </si>
  <si>
    <r>
      <t xml:space="preserve">МКУ ГИМЦ </t>
    </r>
    <r>
      <rPr>
        <sz val="12"/>
        <color indexed="10"/>
        <rFont val="Times New Roman"/>
        <family val="1"/>
        <charset val="204"/>
      </rPr>
      <t/>
    </r>
  </si>
  <si>
    <t>Обеспечено услугами по юридическому и методическому сопровождению 21 образовательное учреждение.   Ежегодно 250 педагогов повышают квалификацию, проведены 20 мероприятий с численностью участников 1600 человек, функционируют не менее 15 различных форм педагогических объединений; обеспечение мониторинга качества образования, а также проведение государственной итоговой аттестации выпускников общеобразовательных учреждений в установленные сроки</t>
  </si>
  <si>
    <t>0148081</t>
  </si>
  <si>
    <t>01400S031P</t>
  </si>
  <si>
    <t>0140010450</t>
  </si>
  <si>
    <t>4.1.5</t>
  </si>
  <si>
    <t>Обеспечение деятельности (оказание услуг) подведомственных учреждений (ЦТО)</t>
  </si>
  <si>
    <t>МКУ ЦТО</t>
  </si>
  <si>
    <t>4.2.1</t>
  </si>
  <si>
    <t>Обеспечение деятельности специалистов по опеке и попечительству в отношении несовершеннолетних</t>
  </si>
  <si>
    <t>отдел образования администрации города Дивногорска (опека и попечительство)</t>
  </si>
  <si>
    <t>0140075520</t>
  </si>
  <si>
    <t>Обеспечить деятельность 2 специалистов по вопросам опеки и попечительства по исполнению государственных полномочий по организации и осуществлению деятельности по опеке и попечительству.</t>
  </si>
  <si>
    <t>4.2.2</t>
  </si>
  <si>
    <t>Приобретение жилых помещений для их предоставления по договору найма детям-сиротам, детям, оставшимся без попечения родителей, и лицам из их числа</t>
  </si>
  <si>
    <t>администрация города Дивногорска (опека и попечительство)</t>
  </si>
  <si>
    <t>0140050820</t>
  </si>
  <si>
    <t>410</t>
  </si>
  <si>
    <t>Приобретены жилые помещения для 25 детей-сирот и детей, оставшихся без попечения родителей</t>
  </si>
  <si>
    <t>0147587</t>
  </si>
  <si>
    <t>01400R0820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</si>
</sst>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_р_._-;\-* #,##0.0_р_._-;_-* &quot;-&quot;?_р_._-;_-@_-"/>
    <numFmt numFmtId="165" formatCode="_-* #,##0.0\ _₽_-;\-* #,##0.0\ _₽_-;_-* &quot;-&quot;?\ _₽_-;_-@_-"/>
    <numFmt numFmtId="166" formatCode="_-* #,##0.00_р_._-;\-* #,##0.00_р_._-;_-* &quot;-&quot;??_р_._-;_-@_-"/>
    <numFmt numFmtId="167" formatCode="0.0"/>
    <numFmt numFmtId="168" formatCode="#,##0.0"/>
    <numFmt numFmtId="169" formatCode="#,##0.0_ ;\-#,##0.0\ "/>
    <numFmt numFmtId="170" formatCode="_-* #,##0.00_р_._-;\-* #,##0.00_р_._-;_-* &quot;-&quot;?_р_._-;_-@_-"/>
  </numFmts>
  <fonts count="33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name val="Calibri"/>
      <family val="2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7030A0"/>
      <name val="Times New Roman"/>
      <family val="1"/>
      <charset val="204"/>
    </font>
    <font>
      <b/>
      <sz val="12"/>
      <color rgb="FF0033CC"/>
      <name val="Times New Roman"/>
      <family val="1"/>
      <charset val="204"/>
    </font>
    <font>
      <sz val="12"/>
      <color theme="0"/>
      <name val="Times New Roman"/>
      <family val="1"/>
      <charset val="204"/>
    </font>
    <font>
      <i/>
      <sz val="11"/>
      <color indexed="10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60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sz val="12"/>
      <color indexed="9"/>
      <name val="Times New Roman"/>
      <family val="1"/>
      <charset val="204"/>
    </font>
    <font>
      <i/>
      <sz val="12"/>
      <color rgb="FF7030A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color indexed="3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1" fillId="0" borderId="0"/>
  </cellStyleXfs>
  <cellXfs count="488">
    <xf numFmtId="0" fontId="0" fillId="0" borderId="0" xfId="0"/>
    <xf numFmtId="0" fontId="2" fillId="0" borderId="0" xfId="0" applyFont="1"/>
    <xf numFmtId="0" fontId="3" fillId="0" borderId="0" xfId="0" applyFont="1" applyAlignment="1">
      <alignment vertical="top" wrapText="1"/>
    </xf>
    <xf numFmtId="0" fontId="3" fillId="0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164" fontId="2" fillId="3" borderId="2" xfId="0" applyNumberFormat="1" applyFont="1" applyFill="1" applyBorder="1"/>
    <xf numFmtId="164" fontId="2" fillId="0" borderId="2" xfId="0" applyNumberFormat="1" applyFont="1" applyFill="1" applyBorder="1"/>
    <xf numFmtId="0" fontId="2" fillId="0" borderId="2" xfId="0" applyFont="1" applyBorder="1"/>
    <xf numFmtId="164" fontId="2" fillId="3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164" fontId="2" fillId="0" borderId="0" xfId="0" applyNumberFormat="1" applyFont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 wrapText="1"/>
    </xf>
    <xf numFmtId="49" fontId="2" fillId="4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0" borderId="2" xfId="0" applyFont="1" applyFill="1" applyBorder="1"/>
    <xf numFmtId="49" fontId="2" fillId="0" borderId="2" xfId="0" applyNumberFormat="1" applyFont="1" applyFill="1" applyBorder="1"/>
    <xf numFmtId="0" fontId="2" fillId="3" borderId="2" xfId="0" applyFont="1" applyFill="1" applyBorder="1"/>
    <xf numFmtId="0" fontId="2" fillId="0" borderId="0" xfId="0" applyFont="1" applyAlignment="1">
      <alignment horizontal="center" vertical="center"/>
    </xf>
    <xf numFmtId="4" fontId="2" fillId="3" borderId="0" xfId="0" applyNumberFormat="1" applyFont="1" applyFill="1" applyAlignment="1">
      <alignment horizontal="center"/>
    </xf>
    <xf numFmtId="0" fontId="2" fillId="0" borderId="2" xfId="0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164" fontId="2" fillId="0" borderId="0" xfId="0" applyNumberFormat="1" applyFont="1"/>
    <xf numFmtId="164" fontId="2" fillId="0" borderId="0" xfId="0" applyNumberFormat="1" applyFont="1" applyFill="1"/>
    <xf numFmtId="0" fontId="2" fillId="0" borderId="0" xfId="0" applyFont="1" applyFill="1"/>
    <xf numFmtId="165" fontId="2" fillId="0" borderId="0" xfId="0" applyNumberFormat="1" applyFont="1" applyFill="1"/>
    <xf numFmtId="165" fontId="2" fillId="0" borderId="0" xfId="0" applyNumberFormat="1" applyFont="1"/>
    <xf numFmtId="0" fontId="5" fillId="0" borderId="0" xfId="0" applyFont="1" applyFill="1"/>
    <xf numFmtId="0" fontId="6" fillId="0" borderId="0" xfId="0" applyFont="1" applyFill="1" applyAlignment="1">
      <alignment vertical="top" wrapText="1"/>
    </xf>
    <xf numFmtId="0" fontId="2" fillId="3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vertical="top" wrapText="1"/>
    </xf>
    <xf numFmtId="4" fontId="2" fillId="3" borderId="2" xfId="1" applyNumberFormat="1" applyFont="1" applyFill="1" applyBorder="1" applyAlignment="1">
      <alignment horizontal="right" vertical="center" wrapText="1"/>
    </xf>
    <xf numFmtId="4" fontId="2" fillId="0" borderId="2" xfId="1" applyNumberFormat="1" applyFont="1" applyFill="1" applyBorder="1" applyAlignment="1">
      <alignment horizontal="right" vertical="center" wrapText="1"/>
    </xf>
    <xf numFmtId="0" fontId="6" fillId="3" borderId="2" xfId="0" applyFont="1" applyFill="1" applyBorder="1" applyAlignment="1">
      <alignment horizontal="left" vertical="top" wrapText="1" indent="1"/>
    </xf>
    <xf numFmtId="0" fontId="6" fillId="3" borderId="2" xfId="0" applyFont="1" applyFill="1" applyBorder="1" applyAlignment="1">
      <alignment horizontal="right" vertical="center" wrapText="1"/>
    </xf>
    <xf numFmtId="4" fontId="2" fillId="3" borderId="2" xfId="0" applyNumberFormat="1" applyFont="1" applyFill="1" applyBorder="1" applyAlignment="1">
      <alignment horizontal="right" vertical="center"/>
    </xf>
    <xf numFmtId="4" fontId="2" fillId="0" borderId="2" xfId="0" applyNumberFormat="1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left" vertical="top" wrapText="1" indent="2"/>
    </xf>
    <xf numFmtId="0" fontId="6" fillId="3" borderId="2" xfId="0" applyFont="1" applyFill="1" applyBorder="1" applyAlignment="1">
      <alignment horizontal="left" vertical="top" wrapText="1"/>
    </xf>
    <xf numFmtId="4" fontId="6" fillId="3" borderId="2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/>
    <xf numFmtId="0" fontId="2" fillId="3" borderId="0" xfId="0" applyFont="1" applyFill="1" applyBorder="1" applyAlignment="1">
      <alignment wrapText="1"/>
    </xf>
    <xf numFmtId="0" fontId="2" fillId="3" borderId="0" xfId="0" applyFont="1" applyFill="1" applyBorder="1" applyAlignment="1"/>
    <xf numFmtId="0" fontId="2" fillId="3" borderId="0" xfId="0" applyFont="1" applyFill="1"/>
    <xf numFmtId="0" fontId="2" fillId="0" borderId="0" xfId="0" applyFont="1" applyFill="1" applyBorder="1" applyAlignment="1">
      <alignment vertical="top" wrapText="1"/>
    </xf>
    <xf numFmtId="0" fontId="2" fillId="0" borderId="0" xfId="0" applyFont="1" applyAlignment="1">
      <alignment horizontal="center" vertical="center" wrapText="1"/>
    </xf>
    <xf numFmtId="167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167" fontId="2" fillId="0" borderId="2" xfId="0" applyNumberFormat="1" applyFont="1" applyFill="1" applyBorder="1" applyAlignment="1">
      <alignment vertical="center"/>
    </xf>
    <xf numFmtId="167" fontId="2" fillId="0" borderId="0" xfId="0" applyNumberFormat="1" applyFont="1" applyFill="1"/>
    <xf numFmtId="167" fontId="2" fillId="0" borderId="0" xfId="0" applyNumberFormat="1" applyFont="1"/>
    <xf numFmtId="49" fontId="2" fillId="0" borderId="0" xfId="2" applyNumberFormat="1" applyFont="1" applyFill="1" applyAlignment="1">
      <alignment horizontal="center" vertical="center"/>
    </xf>
    <xf numFmtId="0" fontId="2" fillId="0" borderId="0" xfId="2" applyFont="1" applyFill="1" applyAlignment="1">
      <alignment wrapText="1"/>
    </xf>
    <xf numFmtId="0" fontId="2" fillId="0" borderId="0" xfId="2" applyFont="1" applyFill="1" applyAlignment="1">
      <alignment horizontal="center" vertical="center" wrapText="1"/>
    </xf>
    <xf numFmtId="0" fontId="8" fillId="0" borderId="0" xfId="0" applyFont="1" applyFill="1"/>
    <xf numFmtId="0" fontId="2" fillId="0" borderId="2" xfId="0" applyFont="1" applyFill="1" applyBorder="1" applyAlignment="1">
      <alignment horizontal="left" vertical="center" wrapText="1" inden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2" xfId="2" applyNumberFormat="1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left" vertical="center" wrapText="1"/>
    </xf>
    <xf numFmtId="2" fontId="2" fillId="3" borderId="2" xfId="2" applyNumberFormat="1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left" vertical="center" wrapText="1" indent="1"/>
    </xf>
    <xf numFmtId="0" fontId="2" fillId="3" borderId="2" xfId="2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167" fontId="2" fillId="3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2" xfId="2" applyNumberFormat="1" applyFont="1" applyFill="1" applyBorder="1" applyAlignment="1">
      <alignment horizontal="center" vertical="center"/>
    </xf>
    <xf numFmtId="0" fontId="2" fillId="0" borderId="2" xfId="2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2" fontId="2" fillId="3" borderId="2" xfId="2" applyNumberFormat="1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49" fontId="2" fillId="0" borderId="2" xfId="2" applyNumberFormat="1" applyFont="1" applyFill="1" applyBorder="1" applyAlignment="1">
      <alignment horizontal="center" vertical="center" wrapText="1"/>
    </xf>
    <xf numFmtId="2" fontId="2" fillId="0" borderId="2" xfId="2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 indent="1"/>
    </xf>
    <xf numFmtId="0" fontId="2" fillId="3" borderId="2" xfId="2" applyNumberFormat="1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left" vertical="top" wrapText="1" indent="1"/>
    </xf>
    <xf numFmtId="3" fontId="2" fillId="0" borderId="2" xfId="2" applyNumberFormat="1" applyFont="1" applyFill="1" applyBorder="1" applyAlignment="1">
      <alignment horizontal="center" vertical="center" wrapText="1"/>
    </xf>
    <xf numFmtId="49" fontId="2" fillId="5" borderId="2" xfId="0" applyNumberFormat="1" applyFont="1" applyFill="1" applyBorder="1" applyAlignment="1">
      <alignment horizontal="center" vertical="center"/>
    </xf>
    <xf numFmtId="0" fontId="2" fillId="5" borderId="2" xfId="2" applyFont="1" applyFill="1" applyBorder="1" applyAlignment="1">
      <alignment horizontal="left" vertical="top" wrapText="1" indent="1"/>
    </xf>
    <xf numFmtId="0" fontId="2" fillId="5" borderId="2" xfId="2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5" borderId="2" xfId="2" applyFont="1" applyFill="1" applyBorder="1" applyAlignment="1">
      <alignment horizontal="center" vertical="top" wrapText="1"/>
    </xf>
    <xf numFmtId="0" fontId="2" fillId="5" borderId="2" xfId="2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2" fillId="3" borderId="2" xfId="0" applyFont="1" applyFill="1" applyBorder="1" applyAlignment="1">
      <alignment horizontal="left"/>
    </xf>
    <xf numFmtId="0" fontId="2" fillId="0" borderId="2" xfId="2" applyFont="1" applyFill="1" applyBorder="1" applyAlignment="1">
      <alignment vertical="top" wrapText="1"/>
    </xf>
    <xf numFmtId="0" fontId="2" fillId="3" borderId="0" xfId="0" applyFont="1" applyFill="1" applyBorder="1"/>
    <xf numFmtId="0" fontId="8" fillId="0" borderId="0" xfId="0" applyFont="1" applyFill="1" applyBorder="1"/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2" xfId="0" applyNumberFormat="1" applyFont="1" applyBorder="1" applyAlignment="1">
      <alignment horizontal="center" vertical="center" wrapText="1"/>
    </xf>
    <xf numFmtId="168" fontId="2" fillId="0" borderId="2" xfId="0" applyNumberFormat="1" applyFont="1" applyFill="1" applyBorder="1" applyAlignment="1">
      <alignment horizontal="center" vertical="center" wrapText="1"/>
    </xf>
    <xf numFmtId="168" fontId="2" fillId="0" borderId="2" xfId="2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wrapText="1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3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67" fontId="2" fillId="3" borderId="6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167" fontId="2" fillId="3" borderId="5" xfId="0" applyNumberFormat="1" applyFont="1" applyFill="1" applyBorder="1" applyAlignment="1">
      <alignment horizontal="center" vertical="center"/>
    </xf>
    <xf numFmtId="167" fontId="2" fillId="0" borderId="8" xfId="0" applyNumberFormat="1" applyFont="1" applyFill="1" applyBorder="1" applyAlignment="1">
      <alignment horizontal="center" vertical="center"/>
    </xf>
    <xf numFmtId="167" fontId="2" fillId="3" borderId="8" xfId="0" applyNumberFormat="1" applyFont="1" applyFill="1" applyBorder="1" applyAlignment="1">
      <alignment horizontal="center" vertical="center"/>
    </xf>
    <xf numFmtId="0" fontId="14" fillId="0" borderId="0" xfId="0" applyFont="1" applyFill="1"/>
    <xf numFmtId="0" fontId="2" fillId="5" borderId="2" xfId="0" applyFont="1" applyFill="1" applyBorder="1" applyAlignment="1">
      <alignment horizontal="left" vertical="center" wrapText="1" indent="1"/>
    </xf>
    <xf numFmtId="49" fontId="2" fillId="0" borderId="0" xfId="2" applyNumberFormat="1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left" vertical="center" wrapText="1" indent="1"/>
    </xf>
    <xf numFmtId="0" fontId="2" fillId="0" borderId="0" xfId="2" applyFont="1" applyFill="1" applyBorder="1" applyAlignment="1">
      <alignment horizontal="center" vertical="center" wrapText="1"/>
    </xf>
    <xf numFmtId="0" fontId="2" fillId="0" borderId="0" xfId="2" applyNumberFormat="1" applyFont="1" applyFill="1" applyBorder="1" applyAlignment="1">
      <alignment horizontal="center" vertical="center" wrapText="1"/>
    </xf>
    <xf numFmtId="0" fontId="2" fillId="3" borderId="0" xfId="2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right"/>
    </xf>
    <xf numFmtId="49" fontId="2" fillId="0" borderId="0" xfId="0" applyNumberFormat="1" applyFont="1" applyFill="1" applyBorder="1" applyAlignment="1">
      <alignment horizontal="center"/>
    </xf>
    <xf numFmtId="166" fontId="2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0" fontId="7" fillId="0" borderId="0" xfId="2" applyFont="1" applyFill="1" applyAlignment="1">
      <alignment vertical="top" wrapText="1"/>
    </xf>
    <xf numFmtId="49" fontId="2" fillId="0" borderId="2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right" wrapText="1"/>
    </xf>
    <xf numFmtId="4" fontId="2" fillId="0" borderId="2" xfId="0" applyNumberFormat="1" applyFont="1" applyFill="1" applyBorder="1" applyAlignment="1">
      <alignment horizontal="right" wrapText="1"/>
    </xf>
    <xf numFmtId="49" fontId="2" fillId="2" borderId="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right" wrapText="1"/>
    </xf>
    <xf numFmtId="49" fontId="2" fillId="3" borderId="2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right"/>
    </xf>
    <xf numFmtId="4" fontId="2" fillId="0" borderId="2" xfId="0" applyNumberFormat="1" applyFont="1" applyFill="1" applyBorder="1" applyAlignment="1">
      <alignment horizontal="right"/>
    </xf>
    <xf numFmtId="0" fontId="2" fillId="0" borderId="2" xfId="0" applyNumberFormat="1" applyFont="1" applyFill="1" applyBorder="1" applyAlignment="1">
      <alignment horizontal="left" vertical="top" wrapText="1"/>
    </xf>
    <xf numFmtId="0" fontId="17" fillId="3" borderId="2" xfId="0" applyFont="1" applyFill="1" applyBorder="1" applyAlignment="1">
      <alignment horizontal="left" vertical="top" wrapText="1"/>
    </xf>
    <xf numFmtId="49" fontId="2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4" fontId="18" fillId="3" borderId="2" xfId="0" applyNumberFormat="1" applyFont="1" applyFill="1" applyBorder="1" applyAlignment="1">
      <alignment horizontal="right"/>
    </xf>
    <xf numFmtId="4" fontId="18" fillId="0" borderId="2" xfId="0" applyNumberFormat="1" applyFont="1" applyFill="1" applyBorder="1" applyAlignment="1">
      <alignment horizontal="right"/>
    </xf>
    <xf numFmtId="0" fontId="2" fillId="0" borderId="2" xfId="0" applyNumberFormat="1" applyFont="1" applyFill="1" applyBorder="1" applyAlignment="1">
      <alignment horizontal="center" vertical="top"/>
    </xf>
    <xf numFmtId="49" fontId="2" fillId="0" borderId="2" xfId="0" applyNumberFormat="1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 wrapText="1"/>
    </xf>
    <xf numFmtId="164" fontId="19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/>
    <xf numFmtId="0" fontId="2" fillId="0" borderId="0" xfId="0" applyFont="1" applyFill="1" applyBorder="1" applyAlignment="1">
      <alignment horizontal="center" vertical="top"/>
    </xf>
    <xf numFmtId="169" fontId="2" fillId="0" borderId="0" xfId="0" applyNumberFormat="1" applyFont="1" applyFill="1" applyBorder="1"/>
    <xf numFmtId="0" fontId="7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right"/>
    </xf>
    <xf numFmtId="49" fontId="2" fillId="0" borderId="0" xfId="0" applyNumberFormat="1" applyFont="1" applyFill="1" applyAlignment="1">
      <alignment horizontal="center" vertical="top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center" vertical="top"/>
    </xf>
    <xf numFmtId="49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0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justify" vertical="center" wrapText="1"/>
    </xf>
    <xf numFmtId="0" fontId="14" fillId="3" borderId="0" xfId="0" applyFont="1" applyFill="1"/>
    <xf numFmtId="0" fontId="2" fillId="0" borderId="2" xfId="0" applyFont="1" applyBorder="1" applyAlignment="1">
      <alignment horizontal="justify" vertical="center" wrapText="1"/>
    </xf>
    <xf numFmtId="0" fontId="14" fillId="0" borderId="0" xfId="0" applyFont="1" applyFill="1" applyAlignment="1">
      <alignment wrapText="1"/>
    </xf>
    <xf numFmtId="49" fontId="22" fillId="0" borderId="0" xfId="0" applyNumberFormat="1" applyFont="1" applyFill="1" applyAlignment="1">
      <alignment vertical="center"/>
    </xf>
    <xf numFmtId="0" fontId="22" fillId="0" borderId="0" xfId="0" applyFont="1" applyFill="1"/>
    <xf numFmtId="0" fontId="22" fillId="0" borderId="0" xfId="0" applyFont="1" applyFill="1" applyAlignment="1"/>
    <xf numFmtId="0" fontId="22" fillId="3" borderId="0" xfId="0" applyFont="1" applyFill="1" applyAlignment="1">
      <alignment horizontal="center" vertical="center"/>
    </xf>
    <xf numFmtId="0" fontId="22" fillId="3" borderId="0" xfId="0" applyFont="1" applyFill="1" applyAlignment="1">
      <alignment horizontal="right"/>
    </xf>
    <xf numFmtId="166" fontId="2" fillId="0" borderId="0" xfId="0" applyNumberFormat="1" applyFont="1" applyFill="1" applyBorder="1" applyAlignment="1">
      <alignment horizontal="left"/>
    </xf>
    <xf numFmtId="0" fontId="2" fillId="5" borderId="0" xfId="0" applyFont="1" applyFill="1" applyBorder="1"/>
    <xf numFmtId="49" fontId="11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right" vertical="center" wrapText="1"/>
    </xf>
    <xf numFmtId="4" fontId="2" fillId="5" borderId="2" xfId="0" applyNumberFormat="1" applyFont="1" applyFill="1" applyBorder="1" applyAlignment="1">
      <alignment horizontal="right" vertical="center" wrapText="1"/>
    </xf>
    <xf numFmtId="2" fontId="2" fillId="0" borderId="2" xfId="0" applyNumberFormat="1" applyFont="1" applyFill="1" applyBorder="1" applyAlignment="1">
      <alignment horizontal="left" vertical="center" wrapText="1"/>
    </xf>
    <xf numFmtId="2" fontId="2" fillId="3" borderId="0" xfId="0" applyNumberFormat="1" applyFont="1" applyFill="1" applyAlignment="1">
      <alignment horizontal="center" vertical="center"/>
    </xf>
    <xf numFmtId="49" fontId="11" fillId="0" borderId="2" xfId="0" applyNumberFormat="1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4" fontId="2" fillId="2" borderId="2" xfId="0" applyNumberFormat="1" applyFont="1" applyFill="1" applyBorder="1" applyAlignment="1">
      <alignment horizontal="right" vertical="center" wrapText="1"/>
    </xf>
    <xf numFmtId="49" fontId="2" fillId="0" borderId="2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left" vertical="top"/>
    </xf>
    <xf numFmtId="2" fontId="2" fillId="0" borderId="2" xfId="0" applyNumberFormat="1" applyFont="1" applyFill="1" applyBorder="1" applyAlignment="1">
      <alignment horizontal="left" vertical="center"/>
    </xf>
    <xf numFmtId="4" fontId="2" fillId="5" borderId="2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left"/>
    </xf>
    <xf numFmtId="49" fontId="2" fillId="0" borderId="2" xfId="0" applyNumberFormat="1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49" fontId="14" fillId="0" borderId="2" xfId="0" applyNumberFormat="1" applyFont="1" applyFill="1" applyBorder="1" applyAlignment="1">
      <alignment horizontal="left" vertical="center" wrapText="1"/>
    </xf>
    <xf numFmtId="4" fontId="14" fillId="0" borderId="2" xfId="0" applyNumberFormat="1" applyFont="1" applyFill="1" applyBorder="1" applyAlignment="1">
      <alignment horizontal="right" vertical="center"/>
    </xf>
    <xf numFmtId="4" fontId="14" fillId="5" borderId="2" xfId="0" applyNumberFormat="1" applyFont="1" applyFill="1" applyBorder="1" applyAlignment="1">
      <alignment horizontal="right" vertical="center"/>
    </xf>
    <xf numFmtId="0" fontId="15" fillId="0" borderId="2" xfId="0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left" vertical="center"/>
    </xf>
    <xf numFmtId="0" fontId="20" fillId="0" borderId="13" xfId="0" applyFont="1" applyFill="1" applyBorder="1" applyAlignment="1">
      <alignment horizontal="center" textRotation="90"/>
    </xf>
    <xf numFmtId="0" fontId="20" fillId="0" borderId="0" xfId="0" applyFont="1" applyFill="1" applyAlignment="1">
      <alignment vertical="top" wrapText="1"/>
    </xf>
    <xf numFmtId="0" fontId="2" fillId="0" borderId="0" xfId="0" applyFont="1" applyFill="1" applyAlignment="1">
      <alignment wrapText="1"/>
    </xf>
    <xf numFmtId="0" fontId="20" fillId="0" borderId="0" xfId="0" applyFont="1" applyFill="1" applyBorder="1" applyAlignment="1">
      <alignment horizontal="center" textRotation="90"/>
    </xf>
    <xf numFmtId="0" fontId="2" fillId="0" borderId="2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right" vertical="center"/>
    </xf>
    <xf numFmtId="0" fontId="11" fillId="5" borderId="2" xfId="0" applyFont="1" applyFill="1" applyBorder="1" applyAlignment="1">
      <alignment horizontal="right" vertical="center"/>
    </xf>
    <xf numFmtId="49" fontId="11" fillId="0" borderId="2" xfId="0" applyNumberFormat="1" applyFont="1" applyFill="1" applyBorder="1" applyAlignment="1">
      <alignment horizontal="left" vertical="center"/>
    </xf>
    <xf numFmtId="49" fontId="11" fillId="3" borderId="2" xfId="0" applyNumberFormat="1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4" fontId="18" fillId="0" borderId="2" xfId="0" applyNumberFormat="1" applyFont="1" applyFill="1" applyBorder="1" applyAlignment="1">
      <alignment horizontal="right" vertical="center"/>
    </xf>
    <xf numFmtId="4" fontId="18" fillId="5" borderId="2" xfId="0" applyNumberFormat="1" applyFont="1" applyFill="1" applyBorder="1" applyAlignment="1">
      <alignment horizontal="right" vertical="center"/>
    </xf>
    <xf numFmtId="49" fontId="2" fillId="5" borderId="2" xfId="0" applyNumberFormat="1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/>
    </xf>
    <xf numFmtId="49" fontId="7" fillId="3" borderId="2" xfId="0" applyNumberFormat="1" applyFont="1" applyFill="1" applyBorder="1" applyAlignment="1">
      <alignment horizontal="left" vertical="center"/>
    </xf>
    <xf numFmtId="49" fontId="2" fillId="3" borderId="2" xfId="0" applyNumberFormat="1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15" fillId="3" borderId="2" xfId="0" applyFont="1" applyFill="1" applyBorder="1" applyAlignment="1">
      <alignment horizontal="left" vertical="center" wrapText="1"/>
    </xf>
    <xf numFmtId="0" fontId="22" fillId="3" borderId="2" xfId="0" applyNumberFormat="1" applyFont="1" applyFill="1" applyBorder="1" applyAlignment="1">
      <alignment horizontal="center" vertical="top"/>
    </xf>
    <xf numFmtId="4" fontId="22" fillId="3" borderId="2" xfId="0" applyNumberFormat="1" applyFont="1" applyFill="1" applyBorder="1" applyAlignment="1">
      <alignment horizontal="right" vertical="center"/>
    </xf>
    <xf numFmtId="4" fontId="22" fillId="0" borderId="2" xfId="0" applyNumberFormat="1" applyFont="1" applyFill="1" applyBorder="1" applyAlignment="1">
      <alignment horizontal="right" vertical="center"/>
    </xf>
    <xf numFmtId="4" fontId="22" fillId="5" borderId="2" xfId="0" applyNumberFormat="1" applyFont="1" applyFill="1" applyBorder="1" applyAlignment="1">
      <alignment horizontal="right" vertical="center"/>
    </xf>
    <xf numFmtId="4" fontId="22" fillId="3" borderId="2" xfId="0" applyNumberFormat="1" applyFont="1" applyFill="1" applyBorder="1"/>
    <xf numFmtId="0" fontId="22" fillId="3" borderId="2" xfId="0" applyFont="1" applyFill="1" applyBorder="1" applyAlignment="1">
      <alignment horizontal="center" vertical="top" wrapText="1"/>
    </xf>
    <xf numFmtId="0" fontId="22" fillId="3" borderId="2" xfId="0" applyFont="1" applyFill="1" applyBorder="1"/>
    <xf numFmtId="0" fontId="2" fillId="0" borderId="0" xfId="0" applyFont="1" applyFill="1" applyAlignment="1">
      <alignment vertical="center"/>
    </xf>
    <xf numFmtId="4" fontId="22" fillId="3" borderId="2" xfId="0" applyNumberFormat="1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left"/>
    </xf>
    <xf numFmtId="4" fontId="16" fillId="0" borderId="0" xfId="0" applyNumberFormat="1" applyFont="1" applyFill="1" applyBorder="1" applyAlignment="1">
      <alignment horizontal="left"/>
    </xf>
    <xf numFmtId="4" fontId="16" fillId="5" borderId="0" xfId="0" applyNumberFormat="1" applyFont="1" applyFill="1" applyBorder="1" applyAlignment="1">
      <alignment horizontal="left"/>
    </xf>
    <xf numFmtId="0" fontId="16" fillId="0" borderId="0" xfId="0" applyFont="1" applyFill="1" applyBorder="1" applyAlignment="1">
      <alignment horizontal="right"/>
    </xf>
    <xf numFmtId="0" fontId="2" fillId="0" borderId="0" xfId="0" applyFont="1" applyFill="1" applyAlignment="1">
      <alignment horizontal="left" vertical="top"/>
    </xf>
    <xf numFmtId="0" fontId="2" fillId="5" borderId="0" xfId="0" applyFont="1" applyFill="1"/>
    <xf numFmtId="0" fontId="2" fillId="0" borderId="0" xfId="0" applyFont="1" applyFill="1" applyAlignment="1">
      <alignment horizontal="left"/>
    </xf>
    <xf numFmtId="0" fontId="4" fillId="0" borderId="0" xfId="2" applyFont="1" applyFill="1" applyBorder="1" applyAlignment="1">
      <alignment horizontal="center" vertical="center" wrapText="1"/>
    </xf>
    <xf numFmtId="14" fontId="2" fillId="0" borderId="2" xfId="2" applyNumberFormat="1" applyFont="1" applyFill="1" applyBorder="1" applyAlignment="1">
      <alignment vertical="center" wrapText="1"/>
    </xf>
    <xf numFmtId="49" fontId="2" fillId="0" borderId="2" xfId="2" applyNumberFormat="1" applyFont="1" applyFill="1" applyBorder="1" applyAlignment="1">
      <alignment vertical="center"/>
    </xf>
    <xf numFmtId="0" fontId="2" fillId="0" borderId="2" xfId="2" applyNumberFormat="1" applyFont="1" applyFill="1" applyBorder="1" applyAlignment="1">
      <alignment horizontal="center" vertical="top" wrapText="1"/>
    </xf>
    <xf numFmtId="0" fontId="25" fillId="0" borderId="0" xfId="0" applyFont="1" applyFill="1"/>
    <xf numFmtId="0" fontId="26" fillId="0" borderId="0" xfId="0" applyFont="1" applyFill="1"/>
    <xf numFmtId="0" fontId="6" fillId="0" borderId="0" xfId="2" applyFont="1" applyFill="1" applyAlignment="1">
      <alignment vertical="top" wrapText="1"/>
    </xf>
    <xf numFmtId="0" fontId="2" fillId="0" borderId="5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left" vertical="center" wrapText="1"/>
    </xf>
    <xf numFmtId="0" fontId="27" fillId="0" borderId="6" xfId="0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vertical="center"/>
    </xf>
    <xf numFmtId="170" fontId="2" fillId="0" borderId="2" xfId="0" applyNumberFormat="1" applyFont="1" applyFill="1" applyBorder="1" applyAlignment="1">
      <alignment horizontal="center" vertical="center"/>
    </xf>
    <xf numFmtId="164" fontId="18" fillId="0" borderId="2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9" fontId="2" fillId="0" borderId="2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164" fontId="14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top" wrapText="1"/>
    </xf>
    <xf numFmtId="170" fontId="2" fillId="3" borderId="2" xfId="0" applyNumberFormat="1" applyFont="1" applyFill="1" applyBorder="1" applyAlignment="1">
      <alignment horizontal="center" vertical="center"/>
    </xf>
    <xf numFmtId="49" fontId="2" fillId="3" borderId="0" xfId="0" applyNumberFormat="1" applyFont="1" applyFill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top" wrapText="1"/>
    </xf>
    <xf numFmtId="164" fontId="29" fillId="0" borderId="0" xfId="1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/>
    <xf numFmtId="0" fontId="6" fillId="0" borderId="0" xfId="0" applyFont="1" applyFill="1" applyBorder="1"/>
    <xf numFmtId="0" fontId="30" fillId="0" borderId="0" xfId="0" applyFont="1" applyFill="1" applyBorder="1" applyAlignment="1">
      <alignment horizontal="left"/>
    </xf>
    <xf numFmtId="0" fontId="22" fillId="0" borderId="0" xfId="0" applyFont="1" applyFill="1" applyBorder="1" applyAlignment="1">
      <alignment horizontal="right"/>
    </xf>
    <xf numFmtId="0" fontId="30" fillId="0" borderId="0" xfId="0" applyFont="1" applyFill="1" applyBorder="1" applyAlignment="1">
      <alignment horizontal="right"/>
    </xf>
    <xf numFmtId="0" fontId="8" fillId="0" borderId="2" xfId="0" applyFont="1" applyFill="1" applyBorder="1"/>
    <xf numFmtId="0" fontId="2" fillId="7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14" fontId="2" fillId="0" borderId="2" xfId="2" applyNumberFormat="1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left" vertical="center" wrapText="1"/>
    </xf>
    <xf numFmtId="164" fontId="2" fillId="0" borderId="2" xfId="0" applyNumberFormat="1" applyFont="1" applyFill="1" applyBorder="1" applyAlignment="1">
      <alignment horizontal="right" vertical="center"/>
    </xf>
    <xf numFmtId="0" fontId="22" fillId="0" borderId="2" xfId="0" applyFont="1" applyFill="1" applyBorder="1" applyAlignment="1">
      <alignment horizontal="center" vertical="center" wrapText="1"/>
    </xf>
    <xf numFmtId="49" fontId="22" fillId="0" borderId="2" xfId="0" applyNumberFormat="1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top" wrapText="1"/>
    </xf>
    <xf numFmtId="0" fontId="22" fillId="0" borderId="2" xfId="0" applyFont="1" applyFill="1" applyBorder="1"/>
    <xf numFmtId="0" fontId="22" fillId="0" borderId="2" xfId="0" applyFont="1" applyFill="1" applyBorder="1" applyAlignment="1">
      <alignment vertical="center" wrapText="1"/>
    </xf>
    <xf numFmtId="0" fontId="31" fillId="0" borderId="0" xfId="0" applyFont="1" applyFill="1" applyBorder="1" applyAlignment="1">
      <alignment horizontal="left"/>
    </xf>
    <xf numFmtId="0" fontId="32" fillId="0" borderId="0" xfId="0" applyFont="1" applyFill="1" applyBorder="1" applyAlignment="1">
      <alignment horizontal="right"/>
    </xf>
    <xf numFmtId="0" fontId="32" fillId="0" borderId="0" xfId="0" applyFont="1" applyFill="1"/>
    <xf numFmtId="0" fontId="32" fillId="0" borderId="0" xfId="0" applyFont="1" applyFill="1" applyAlignment="1">
      <alignment horizontal="center" vertical="center"/>
    </xf>
    <xf numFmtId="165" fontId="32" fillId="0" borderId="0" xfId="0" applyNumberFormat="1" applyFont="1" applyFill="1"/>
    <xf numFmtId="0" fontId="31" fillId="0" borderId="0" xfId="0" applyFont="1" applyFill="1" applyBorder="1" applyAlignment="1">
      <alignment horizontal="right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right" wrapText="1"/>
    </xf>
    <xf numFmtId="0" fontId="6" fillId="0" borderId="0" xfId="0" applyFont="1" applyFill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2" fillId="0" borderId="0" xfId="0" applyFont="1" applyAlignment="1">
      <alignment horizontal="left" vertical="top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left"/>
    </xf>
    <xf numFmtId="0" fontId="2" fillId="0" borderId="2" xfId="2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left" vertical="center" wrapText="1"/>
    </xf>
    <xf numFmtId="0" fontId="7" fillId="0" borderId="0" xfId="2" applyFont="1" applyFill="1" applyAlignment="1">
      <alignment horizontal="left" vertical="top" wrapText="1"/>
    </xf>
    <xf numFmtId="0" fontId="4" fillId="0" borderId="0" xfId="2" applyFont="1" applyFill="1" applyBorder="1" applyAlignment="1">
      <alignment horizontal="center" vertical="center" wrapText="1"/>
    </xf>
    <xf numFmtId="49" fontId="2" fillId="0" borderId="2" xfId="2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wrapText="1"/>
    </xf>
    <xf numFmtId="0" fontId="2" fillId="3" borderId="0" xfId="0" applyFont="1" applyFill="1" applyBorder="1" applyAlignment="1">
      <alignment horizontal="right" wrapText="1"/>
    </xf>
    <xf numFmtId="0" fontId="0" fillId="3" borderId="0" xfId="0" applyFill="1" applyBorder="1" applyAlignment="1"/>
    <xf numFmtId="0" fontId="2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0" borderId="11" xfId="2" applyFont="1" applyFill="1" applyBorder="1" applyAlignment="1">
      <alignment horizontal="center" vertical="center" wrapText="1"/>
    </xf>
    <xf numFmtId="0" fontId="2" fillId="0" borderId="9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49" fontId="2" fillId="0" borderId="6" xfId="2" applyNumberFormat="1" applyFont="1" applyFill="1" applyBorder="1" applyAlignment="1">
      <alignment horizontal="center" vertical="center" wrapText="1"/>
    </xf>
    <xf numFmtId="49" fontId="2" fillId="0" borderId="7" xfId="2" applyNumberFormat="1" applyFont="1" applyFill="1" applyBorder="1" applyAlignment="1">
      <alignment horizontal="center" vertical="center" wrapText="1"/>
    </xf>
    <xf numFmtId="49" fontId="2" fillId="0" borderId="8" xfId="2" applyNumberFormat="1" applyFont="1" applyFill="1" applyBorder="1" applyAlignment="1">
      <alignment horizontal="center" vertical="center" wrapText="1"/>
    </xf>
    <xf numFmtId="0" fontId="2" fillId="0" borderId="6" xfId="2" applyFont="1" applyFill="1" applyBorder="1" applyAlignment="1">
      <alignment horizontal="center" vertical="center" wrapText="1"/>
    </xf>
    <xf numFmtId="0" fontId="2" fillId="0" borderId="7" xfId="2" applyFont="1" applyFill="1" applyBorder="1" applyAlignment="1">
      <alignment horizontal="center" vertical="center" wrapText="1"/>
    </xf>
    <xf numFmtId="0" fontId="2" fillId="0" borderId="8" xfId="2" applyFont="1" applyFill="1" applyBorder="1" applyAlignment="1">
      <alignment horizontal="center" vertical="center" wrapText="1"/>
    </xf>
    <xf numFmtId="0" fontId="0" fillId="0" borderId="7" xfId="0" applyFill="1" applyBorder="1"/>
    <xf numFmtId="0" fontId="0" fillId="0" borderId="8" xfId="0" applyFill="1" applyBorder="1"/>
    <xf numFmtId="0" fontId="0" fillId="0" borderId="7" xfId="0" applyBorder="1"/>
    <xf numFmtId="0" fontId="0" fillId="0" borderId="8" xfId="0" applyBorder="1"/>
    <xf numFmtId="0" fontId="2" fillId="0" borderId="3" xfId="0" applyNumberFormat="1" applyFont="1" applyFill="1" applyBorder="1" applyAlignment="1">
      <alignment horizontal="left" vertical="top"/>
    </xf>
    <xf numFmtId="0" fontId="2" fillId="0" borderId="5" xfId="0" applyNumberFormat="1" applyFont="1" applyFill="1" applyBorder="1" applyAlignment="1">
      <alignment horizontal="left" vertical="top"/>
    </xf>
    <xf numFmtId="0" fontId="7" fillId="0" borderId="0" xfId="0" applyNumberFormat="1" applyFont="1" applyFill="1" applyBorder="1" applyAlignment="1">
      <alignment horizontal="left" vertical="top"/>
    </xf>
    <xf numFmtId="49" fontId="2" fillId="0" borderId="0" xfId="0" applyNumberFormat="1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/>
    </xf>
    <xf numFmtId="49" fontId="7" fillId="0" borderId="2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49" fontId="7" fillId="3" borderId="6" xfId="0" applyNumberFormat="1" applyFont="1" applyFill="1" applyBorder="1" applyAlignment="1">
      <alignment horizontal="center" vertical="center"/>
    </xf>
    <xf numFmtId="49" fontId="7" fillId="3" borderId="8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49" fontId="2" fillId="3" borderId="6" xfId="0" applyNumberFormat="1" applyFont="1" applyFill="1" applyBorder="1" applyAlignment="1">
      <alignment horizontal="center" vertical="center" wrapText="1"/>
    </xf>
    <xf numFmtId="49" fontId="2" fillId="3" borderId="8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vertical="center" wrapText="1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left" vertical="top" wrapText="1"/>
    </xf>
    <xf numFmtId="0" fontId="2" fillId="0" borderId="8" xfId="0" applyNumberFormat="1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49" fontId="2" fillId="3" borderId="6" xfId="0" applyNumberFormat="1" applyFont="1" applyFill="1" applyBorder="1" applyAlignment="1">
      <alignment horizontal="center" vertical="center"/>
    </xf>
    <xf numFmtId="49" fontId="2" fillId="3" borderId="8" xfId="0" applyNumberFormat="1" applyFont="1" applyFill="1" applyBorder="1" applyAlignment="1">
      <alignment horizontal="center" vertical="center"/>
    </xf>
    <xf numFmtId="0" fontId="2" fillId="3" borderId="6" xfId="0" applyNumberFormat="1" applyFont="1" applyFill="1" applyBorder="1" applyAlignment="1">
      <alignment vertical="center" wrapText="1"/>
    </xf>
    <xf numFmtId="0" fontId="2" fillId="3" borderId="8" xfId="0" applyNumberFormat="1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left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left" vertical="top" wrapText="1"/>
    </xf>
    <xf numFmtId="49" fontId="2" fillId="0" borderId="7" xfId="0" applyNumberFormat="1" applyFont="1" applyFill="1" applyBorder="1" applyAlignment="1">
      <alignment horizontal="left" vertical="top" wrapText="1"/>
    </xf>
    <xf numFmtId="49" fontId="2" fillId="0" borderId="8" xfId="0" applyNumberFormat="1" applyFont="1" applyFill="1" applyBorder="1" applyAlignment="1">
      <alignment horizontal="left" vertical="top" wrapText="1"/>
    </xf>
    <xf numFmtId="0" fontId="2" fillId="0" borderId="7" xfId="0" applyNumberFormat="1" applyFont="1" applyFill="1" applyBorder="1" applyAlignment="1">
      <alignment horizontal="left" vertical="top" wrapText="1"/>
    </xf>
    <xf numFmtId="168" fontId="7" fillId="0" borderId="0" xfId="0" applyNumberFormat="1" applyFont="1" applyFill="1" applyBorder="1" applyAlignment="1">
      <alignment horizontal="left" vertical="top" wrapText="1"/>
    </xf>
    <xf numFmtId="0" fontId="16" fillId="0" borderId="0" xfId="2" applyFont="1" applyFill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/>
    </xf>
    <xf numFmtId="0" fontId="2" fillId="0" borderId="2" xfId="2" applyFont="1" applyFill="1" applyBorder="1" applyAlignment="1">
      <alignment horizontal="left" vertical="center" wrapText="1"/>
    </xf>
    <xf numFmtId="0" fontId="2" fillId="0" borderId="3" xfId="2" applyFont="1" applyFill="1" applyBorder="1" applyAlignment="1">
      <alignment horizontal="left" vertical="center" wrapText="1"/>
    </xf>
    <xf numFmtId="0" fontId="2" fillId="0" borderId="4" xfId="2" applyFont="1" applyFill="1" applyBorder="1" applyAlignment="1">
      <alignment horizontal="left" vertical="center" wrapText="1"/>
    </xf>
    <xf numFmtId="0" fontId="2" fillId="0" borderId="5" xfId="2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2" fillId="0" borderId="4" xfId="2" applyFont="1" applyFill="1" applyBorder="1" applyAlignment="1">
      <alignment horizontal="center" vertical="center" wrapText="1"/>
    </xf>
    <xf numFmtId="0" fontId="2" fillId="0" borderId="5" xfId="2" applyFont="1" applyFill="1" applyBorder="1" applyAlignment="1">
      <alignment horizontal="center" vertical="center" wrapText="1"/>
    </xf>
    <xf numFmtId="0" fontId="22" fillId="3" borderId="2" xfId="0" applyNumberFormat="1" applyFont="1" applyFill="1" applyBorder="1" applyAlignment="1">
      <alignment horizontal="left" vertical="top"/>
    </xf>
    <xf numFmtId="0" fontId="16" fillId="0" borderId="0" xfId="0" applyFont="1" applyFill="1" applyBorder="1" applyAlignment="1">
      <alignment horizontal="left"/>
    </xf>
    <xf numFmtId="49" fontId="6" fillId="3" borderId="2" xfId="0" applyNumberFormat="1" applyFont="1" applyFill="1" applyBorder="1" applyAlignment="1">
      <alignment horizontal="center" vertical="top"/>
    </xf>
    <xf numFmtId="0" fontId="2" fillId="3" borderId="2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left" vertical="center" wrapText="1"/>
    </xf>
    <xf numFmtId="49" fontId="17" fillId="3" borderId="2" xfId="0" applyNumberFormat="1" applyFont="1" applyFill="1" applyBorder="1" applyAlignment="1">
      <alignment horizontal="left" vertical="center"/>
    </xf>
    <xf numFmtId="0" fontId="17" fillId="6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top" wrapText="1"/>
    </xf>
    <xf numFmtId="49" fontId="7" fillId="0" borderId="2" xfId="0" applyNumberFormat="1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left" vertical="center" wrapText="1"/>
    </xf>
    <xf numFmtId="49" fontId="6" fillId="3" borderId="2" xfId="0" applyNumberFormat="1" applyFont="1" applyFill="1" applyBorder="1" applyAlignment="1">
      <alignment horizontal="left" vertical="top"/>
    </xf>
    <xf numFmtId="0" fontId="2" fillId="0" borderId="2" xfId="0" applyNumberFormat="1" applyFont="1" applyFill="1" applyBorder="1" applyAlignment="1">
      <alignment horizontal="left" vertical="top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2" fontId="2" fillId="0" borderId="6" xfId="0" applyNumberFormat="1" applyFont="1" applyFill="1" applyBorder="1" applyAlignment="1">
      <alignment horizontal="center" vertical="top" wrapText="1"/>
    </xf>
    <xf numFmtId="2" fontId="2" fillId="0" borderId="7" xfId="0" applyNumberFormat="1" applyFont="1" applyFill="1" applyBorder="1" applyAlignment="1">
      <alignment horizontal="center" vertical="top" wrapText="1"/>
    </xf>
    <xf numFmtId="2" fontId="2" fillId="0" borderId="8" xfId="0" applyNumberFormat="1" applyFont="1" applyFill="1" applyBorder="1" applyAlignment="1">
      <alignment horizontal="center" vertical="top" wrapText="1"/>
    </xf>
    <xf numFmtId="0" fontId="6" fillId="0" borderId="0" xfId="2" applyFont="1" applyFill="1" applyAlignment="1">
      <alignment horizontal="left" vertical="top" wrapText="1"/>
    </xf>
    <xf numFmtId="0" fontId="30" fillId="0" borderId="0" xfId="0" applyFont="1" applyFill="1" applyBorder="1" applyAlignment="1">
      <alignment horizontal="left"/>
    </xf>
    <xf numFmtId="0" fontId="2" fillId="0" borderId="2" xfId="0" applyNumberFormat="1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>
      <alignment horizontal="left" vertical="top"/>
    </xf>
    <xf numFmtId="49" fontId="6" fillId="3" borderId="6" xfId="0" applyNumberFormat="1" applyFont="1" applyFill="1" applyBorder="1" applyAlignment="1">
      <alignment horizontal="center" vertical="top"/>
    </xf>
    <xf numFmtId="49" fontId="6" fillId="3" borderId="8" xfId="0" applyNumberFormat="1" applyFont="1" applyFill="1" applyBorder="1" applyAlignment="1">
      <alignment horizontal="center" vertical="top"/>
    </xf>
    <xf numFmtId="0" fontId="6" fillId="3" borderId="6" xfId="0" applyFont="1" applyFill="1" applyBorder="1" applyAlignment="1">
      <alignment horizontal="left" vertical="top" wrapText="1"/>
    </xf>
    <xf numFmtId="0" fontId="6" fillId="3" borderId="8" xfId="0" applyFont="1" applyFill="1" applyBorder="1" applyAlignment="1">
      <alignment horizontal="left" vertical="top" wrapText="1"/>
    </xf>
    <xf numFmtId="0" fontId="2" fillId="3" borderId="6" xfId="0" applyFont="1" applyFill="1" applyBorder="1" applyAlignment="1">
      <alignment horizontal="left" vertical="top" wrapText="1"/>
    </xf>
    <xf numFmtId="0" fontId="2" fillId="3" borderId="8" xfId="0" applyFont="1" applyFill="1" applyBorder="1" applyAlignment="1">
      <alignment horizontal="left" vertical="top" wrapText="1"/>
    </xf>
    <xf numFmtId="49" fontId="6" fillId="3" borderId="6" xfId="0" applyNumberFormat="1" applyFont="1" applyFill="1" applyBorder="1" applyAlignment="1">
      <alignment horizontal="center" vertical="center"/>
    </xf>
    <xf numFmtId="49" fontId="6" fillId="3" borderId="7" xfId="0" applyNumberFormat="1" applyFont="1" applyFill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top" wrapText="1"/>
    </xf>
    <xf numFmtId="0" fontId="14" fillId="3" borderId="7" xfId="0" applyFont="1" applyFill="1" applyBorder="1" applyAlignment="1">
      <alignment horizontal="center" vertical="top" wrapText="1"/>
    </xf>
    <xf numFmtId="0" fontId="14" fillId="3" borderId="8" xfId="0" applyFont="1" applyFill="1" applyBorder="1" applyAlignment="1">
      <alignment horizontal="center" vertical="top" wrapText="1"/>
    </xf>
    <xf numFmtId="0" fontId="28" fillId="0" borderId="2" xfId="0" applyFont="1" applyFill="1" applyBorder="1" applyAlignment="1">
      <alignment horizontal="left" vertical="center"/>
    </xf>
    <xf numFmtId="0" fontId="2" fillId="0" borderId="6" xfId="0" applyNumberFormat="1" applyFont="1" applyFill="1" applyBorder="1" applyAlignment="1">
      <alignment horizontal="left" vertical="center" wrapText="1"/>
    </xf>
    <xf numFmtId="0" fontId="2" fillId="0" borderId="8" xfId="0" applyNumberFormat="1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0" borderId="6" xfId="2" applyFont="1" applyFill="1" applyBorder="1" applyAlignment="1">
      <alignment horizontal="left" vertical="center" wrapText="1"/>
    </xf>
    <xf numFmtId="0" fontId="2" fillId="0" borderId="7" xfId="2" applyFont="1" applyFill="1" applyBorder="1" applyAlignment="1">
      <alignment horizontal="left" vertical="center" wrapText="1"/>
    </xf>
    <xf numFmtId="0" fontId="2" fillId="0" borderId="8" xfId="2" applyFont="1" applyFill="1" applyBorder="1" applyAlignment="1">
      <alignment horizontal="left" vertical="center" wrapText="1"/>
    </xf>
    <xf numFmtId="168" fontId="6" fillId="0" borderId="0" xfId="0" applyNumberFormat="1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 wrapText="1"/>
    </xf>
    <xf numFmtId="0" fontId="22" fillId="0" borderId="0" xfId="0" applyFont="1" applyFill="1" applyAlignment="1">
      <alignment horizontal="center"/>
    </xf>
    <xf numFmtId="0" fontId="22" fillId="0" borderId="2" xfId="0" applyNumberFormat="1" applyFont="1" applyFill="1" applyBorder="1" applyAlignment="1">
      <alignment horizontal="left" vertical="center"/>
    </xf>
    <xf numFmtId="0" fontId="31" fillId="0" borderId="0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vertical="center" wrapText="1"/>
    </xf>
    <xf numFmtId="49" fontId="22" fillId="0" borderId="2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49" fontId="7" fillId="0" borderId="7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2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6"/>
  <sheetViews>
    <sheetView view="pageBreakPreview" zoomScale="80" zoomScaleNormal="100" zoomScaleSheetLayoutView="80" workbookViewId="0">
      <pane xSplit="2" ySplit="6" topLeftCell="C40" activePane="bottomRight" state="frozen"/>
      <selection activeCell="B8" sqref="B8"/>
      <selection pane="topRight" activeCell="B8" sqref="B8"/>
      <selection pane="bottomLeft" activeCell="B8" sqref="B8"/>
      <selection pane="bottomRight" activeCell="A45" sqref="A45:N45"/>
    </sheetView>
  </sheetViews>
  <sheetFormatPr defaultRowHeight="15.75" x14ac:dyDescent="0.25"/>
  <cols>
    <col min="1" max="1" width="7.5703125" style="108" customWidth="1"/>
    <col min="2" max="2" width="79.140625" style="35" customWidth="1"/>
    <col min="3" max="3" width="12" style="35" customWidth="1"/>
    <col min="4" max="4" width="11.85546875" style="35" customWidth="1"/>
    <col min="5" max="5" width="26.140625" style="35" customWidth="1"/>
    <col min="6" max="6" width="11.42578125" style="35" hidden="1" customWidth="1"/>
    <col min="7" max="13" width="10.7109375" style="35" customWidth="1"/>
    <col min="14" max="14" width="10.7109375" style="66" customWidth="1"/>
    <col min="15" max="16384" width="9.140625" style="35"/>
  </cols>
  <sheetData>
    <row r="1" spans="1:14" ht="65.25" customHeight="1" x14ac:dyDescent="0.25">
      <c r="A1" s="63"/>
      <c r="B1" s="64"/>
      <c r="C1" s="65"/>
      <c r="D1" s="64"/>
      <c r="E1" s="64"/>
      <c r="G1" s="346" t="s">
        <v>86</v>
      </c>
      <c r="H1" s="346"/>
      <c r="I1" s="346"/>
      <c r="J1" s="346"/>
      <c r="K1" s="346"/>
      <c r="L1" s="346"/>
      <c r="M1" s="346"/>
    </row>
    <row r="2" spans="1:14" ht="37.5" customHeight="1" x14ac:dyDescent="0.25">
      <c r="A2" s="347" t="s">
        <v>87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</row>
    <row r="3" spans="1:14" x14ac:dyDescent="0.25">
      <c r="A3" s="348" t="s">
        <v>88</v>
      </c>
      <c r="B3" s="339" t="s">
        <v>89</v>
      </c>
      <c r="C3" s="339" t="s">
        <v>90</v>
      </c>
      <c r="D3" s="339" t="s">
        <v>91</v>
      </c>
      <c r="E3" s="339" t="s">
        <v>92</v>
      </c>
      <c r="F3" s="305" t="s">
        <v>93</v>
      </c>
      <c r="G3" s="305" t="s">
        <v>41</v>
      </c>
      <c r="H3" s="305" t="s">
        <v>42</v>
      </c>
      <c r="I3" s="305" t="s">
        <v>43</v>
      </c>
      <c r="J3" s="305" t="s">
        <v>44</v>
      </c>
      <c r="K3" s="305" t="s">
        <v>45</v>
      </c>
      <c r="L3" s="305" t="s">
        <v>46</v>
      </c>
      <c r="M3" s="305" t="s">
        <v>47</v>
      </c>
      <c r="N3" s="305" t="s">
        <v>48</v>
      </c>
    </row>
    <row r="4" spans="1:14" x14ac:dyDescent="0.25">
      <c r="A4" s="348"/>
      <c r="B4" s="339"/>
      <c r="C4" s="339"/>
      <c r="D4" s="339"/>
      <c r="E4" s="339"/>
      <c r="F4" s="305"/>
      <c r="G4" s="305"/>
      <c r="H4" s="305"/>
      <c r="I4" s="305"/>
      <c r="J4" s="305"/>
      <c r="K4" s="305"/>
      <c r="L4" s="305"/>
      <c r="M4" s="305"/>
      <c r="N4" s="305"/>
    </row>
    <row r="5" spans="1:14" x14ac:dyDescent="0.25">
      <c r="A5" s="348"/>
      <c r="B5" s="339"/>
      <c r="C5" s="339"/>
      <c r="D5" s="339"/>
      <c r="E5" s="339"/>
      <c r="F5" s="305"/>
      <c r="G5" s="305"/>
      <c r="H5" s="305"/>
      <c r="I5" s="305"/>
      <c r="J5" s="305"/>
      <c r="K5" s="305"/>
      <c r="L5" s="305"/>
      <c r="M5" s="305"/>
      <c r="N5" s="305"/>
    </row>
    <row r="6" spans="1:14" x14ac:dyDescent="0.25">
      <c r="A6" s="339" t="s">
        <v>94</v>
      </c>
      <c r="B6" s="339"/>
      <c r="C6" s="339"/>
      <c r="D6" s="339"/>
      <c r="E6" s="339"/>
      <c r="F6" s="339"/>
      <c r="G6" s="339"/>
      <c r="H6" s="339"/>
      <c r="I6" s="339"/>
      <c r="J6" s="339"/>
      <c r="K6" s="339"/>
      <c r="L6" s="339"/>
      <c r="M6" s="339"/>
      <c r="N6" s="339"/>
    </row>
    <row r="7" spans="1:14" ht="47.25" x14ac:dyDescent="0.25">
      <c r="A7" s="23">
        <v>1</v>
      </c>
      <c r="B7" s="67" t="s">
        <v>95</v>
      </c>
      <c r="C7" s="22" t="s">
        <v>96</v>
      </c>
      <c r="D7" s="68" t="s">
        <v>97</v>
      </c>
      <c r="E7" s="69" t="s">
        <v>98</v>
      </c>
      <c r="F7" s="70"/>
      <c r="G7" s="71">
        <v>95</v>
      </c>
      <c r="H7" s="71">
        <v>95</v>
      </c>
      <c r="I7" s="71">
        <v>96</v>
      </c>
      <c r="J7" s="71">
        <v>96</v>
      </c>
      <c r="K7" s="71">
        <v>96</v>
      </c>
      <c r="L7" s="71">
        <v>96</v>
      </c>
      <c r="M7" s="71">
        <v>96</v>
      </c>
      <c r="N7" s="71">
        <v>96</v>
      </c>
    </row>
    <row r="8" spans="1:14" ht="63" x14ac:dyDescent="0.25">
      <c r="A8" s="23" t="s">
        <v>99</v>
      </c>
      <c r="B8" s="67" t="s">
        <v>100</v>
      </c>
      <c r="C8" s="22" t="s">
        <v>96</v>
      </c>
      <c r="D8" s="68" t="s">
        <v>97</v>
      </c>
      <c r="E8" s="69" t="s">
        <v>101</v>
      </c>
      <c r="F8" s="58">
        <v>80</v>
      </c>
      <c r="G8" s="24">
        <v>91.3</v>
      </c>
      <c r="H8" s="24">
        <v>100</v>
      </c>
      <c r="I8" s="24">
        <v>100</v>
      </c>
      <c r="J8" s="24">
        <v>100</v>
      </c>
      <c r="K8" s="24">
        <v>100</v>
      </c>
      <c r="L8" s="24">
        <v>100</v>
      </c>
      <c r="M8" s="24">
        <v>100</v>
      </c>
      <c r="N8" s="24">
        <v>100</v>
      </c>
    </row>
    <row r="9" spans="1:14" ht="63" x14ac:dyDescent="0.25">
      <c r="A9" s="23" t="s">
        <v>102</v>
      </c>
      <c r="B9" s="72" t="s">
        <v>103</v>
      </c>
      <c r="C9" s="68" t="s">
        <v>96</v>
      </c>
      <c r="D9" s="68" t="s">
        <v>97</v>
      </c>
      <c r="E9" s="68" t="s">
        <v>101</v>
      </c>
      <c r="F9" s="68">
        <v>1.96</v>
      </c>
      <c r="G9" s="73">
        <v>98.53</v>
      </c>
      <c r="H9" s="73">
        <v>98.6</v>
      </c>
      <c r="I9" s="73">
        <v>98.6</v>
      </c>
      <c r="J9" s="73">
        <v>100</v>
      </c>
      <c r="K9" s="73">
        <v>100</v>
      </c>
      <c r="L9" s="73">
        <v>100</v>
      </c>
      <c r="M9" s="73">
        <v>100</v>
      </c>
      <c r="N9" s="73">
        <v>100</v>
      </c>
    </row>
    <row r="10" spans="1:14" ht="63" x14ac:dyDescent="0.25">
      <c r="A10" s="23" t="s">
        <v>104</v>
      </c>
      <c r="B10" s="67" t="s">
        <v>105</v>
      </c>
      <c r="C10" s="22" t="s">
        <v>96</v>
      </c>
      <c r="D10" s="68" t="s">
        <v>97</v>
      </c>
      <c r="E10" s="68" t="s">
        <v>101</v>
      </c>
      <c r="F10" s="74">
        <v>60.5</v>
      </c>
      <c r="G10" s="75">
        <v>67</v>
      </c>
      <c r="H10" s="75">
        <v>83</v>
      </c>
      <c r="I10" s="75">
        <v>83</v>
      </c>
      <c r="J10" s="75">
        <v>83</v>
      </c>
      <c r="K10" s="75">
        <v>83</v>
      </c>
      <c r="L10" s="75">
        <v>83</v>
      </c>
      <c r="M10" s="75">
        <v>100</v>
      </c>
      <c r="N10" s="75">
        <v>100</v>
      </c>
    </row>
    <row r="11" spans="1:14" s="55" customFormat="1" x14ac:dyDescent="0.25">
      <c r="A11" s="345" t="s">
        <v>106</v>
      </c>
      <c r="B11" s="345"/>
      <c r="C11" s="345"/>
      <c r="D11" s="345"/>
      <c r="E11" s="345"/>
      <c r="F11" s="345"/>
      <c r="G11" s="345"/>
      <c r="H11" s="345"/>
      <c r="I11" s="345"/>
      <c r="J11" s="345"/>
      <c r="K11" s="345"/>
      <c r="L11" s="345"/>
      <c r="M11" s="345"/>
      <c r="N11" s="345"/>
    </row>
    <row r="12" spans="1:14" s="55" customFormat="1" x14ac:dyDescent="0.25">
      <c r="A12" s="345" t="s">
        <v>107</v>
      </c>
      <c r="B12" s="345"/>
      <c r="C12" s="345"/>
      <c r="D12" s="345"/>
      <c r="E12" s="345"/>
      <c r="F12" s="345"/>
      <c r="G12" s="345"/>
      <c r="H12" s="345"/>
      <c r="I12" s="345"/>
      <c r="J12" s="345"/>
      <c r="K12" s="345"/>
      <c r="L12" s="345"/>
      <c r="M12" s="345"/>
      <c r="N12" s="345"/>
    </row>
    <row r="13" spans="1:14" s="55" customFormat="1" x14ac:dyDescent="0.25">
      <c r="A13" s="345" t="s">
        <v>108</v>
      </c>
      <c r="B13" s="345"/>
      <c r="C13" s="345"/>
      <c r="D13" s="345"/>
      <c r="E13" s="345"/>
      <c r="F13" s="345"/>
      <c r="G13" s="345"/>
      <c r="H13" s="345"/>
      <c r="I13" s="345"/>
      <c r="J13" s="345"/>
      <c r="K13" s="345"/>
      <c r="L13" s="345"/>
      <c r="M13" s="345"/>
      <c r="N13" s="345"/>
    </row>
    <row r="14" spans="1:14" ht="31.5" x14ac:dyDescent="0.25">
      <c r="A14" s="23" t="s">
        <v>109</v>
      </c>
      <c r="B14" s="67" t="s">
        <v>110</v>
      </c>
      <c r="C14" s="24" t="s">
        <v>96</v>
      </c>
      <c r="D14" s="22">
        <v>0.02</v>
      </c>
      <c r="E14" s="76" t="s">
        <v>111</v>
      </c>
      <c r="F14" s="24">
        <v>64</v>
      </c>
      <c r="G14" s="24">
        <v>90.1</v>
      </c>
      <c r="H14" s="77">
        <v>97.5</v>
      </c>
      <c r="I14" s="77">
        <v>100</v>
      </c>
      <c r="J14" s="77">
        <v>100</v>
      </c>
      <c r="K14" s="77">
        <v>100</v>
      </c>
      <c r="L14" s="77">
        <v>100</v>
      </c>
      <c r="M14" s="77">
        <v>100</v>
      </c>
      <c r="N14" s="77">
        <v>100</v>
      </c>
    </row>
    <row r="15" spans="1:14" ht="63" x14ac:dyDescent="0.25">
      <c r="A15" s="23" t="s">
        <v>112</v>
      </c>
      <c r="B15" s="67" t="s">
        <v>113</v>
      </c>
      <c r="C15" s="24" t="s">
        <v>96</v>
      </c>
      <c r="D15" s="22">
        <v>0.02</v>
      </c>
      <c r="E15" s="76" t="s">
        <v>111</v>
      </c>
      <c r="F15" s="78">
        <v>78.8</v>
      </c>
      <c r="G15" s="78">
        <v>85</v>
      </c>
      <c r="H15" s="78">
        <v>97</v>
      </c>
      <c r="I15" s="77">
        <v>100</v>
      </c>
      <c r="J15" s="77">
        <v>100</v>
      </c>
      <c r="K15" s="77">
        <v>100</v>
      </c>
      <c r="L15" s="77">
        <v>100</v>
      </c>
      <c r="M15" s="77">
        <v>100</v>
      </c>
      <c r="N15" s="77">
        <v>100</v>
      </c>
    </row>
    <row r="16" spans="1:14" ht="94.5" x14ac:dyDescent="0.25">
      <c r="A16" s="23" t="s">
        <v>114</v>
      </c>
      <c r="B16" s="67" t="s">
        <v>115</v>
      </c>
      <c r="C16" s="24" t="s">
        <v>96</v>
      </c>
      <c r="D16" s="22">
        <v>0.02</v>
      </c>
      <c r="E16" s="76" t="s">
        <v>111</v>
      </c>
      <c r="F16" s="79" t="s">
        <v>116</v>
      </c>
      <c r="G16" s="24" t="s">
        <v>116</v>
      </c>
      <c r="H16" s="77">
        <v>0</v>
      </c>
      <c r="I16" s="77">
        <v>0</v>
      </c>
      <c r="J16" s="77">
        <v>100</v>
      </c>
      <c r="K16" s="77">
        <v>100</v>
      </c>
      <c r="L16" s="77">
        <v>100</v>
      </c>
      <c r="M16" s="77">
        <v>100</v>
      </c>
      <c r="N16" s="77">
        <v>100</v>
      </c>
    </row>
    <row r="17" spans="1:14" ht="78.75" x14ac:dyDescent="0.25">
      <c r="A17" s="23" t="s">
        <v>117</v>
      </c>
      <c r="B17" s="67" t="s">
        <v>118</v>
      </c>
      <c r="C17" s="24" t="s">
        <v>96</v>
      </c>
      <c r="D17" s="22">
        <v>0.02</v>
      </c>
      <c r="E17" s="76" t="s">
        <v>111</v>
      </c>
      <c r="F17" s="24" t="s">
        <v>116</v>
      </c>
      <c r="G17" s="24" t="s">
        <v>119</v>
      </c>
      <c r="H17" s="77" t="s">
        <v>120</v>
      </c>
      <c r="I17" s="77" t="s">
        <v>120</v>
      </c>
      <c r="J17" s="77" t="s">
        <v>120</v>
      </c>
      <c r="K17" s="77" t="s">
        <v>120</v>
      </c>
      <c r="L17" s="77" t="s">
        <v>120</v>
      </c>
      <c r="M17" s="77" t="s">
        <v>120</v>
      </c>
      <c r="N17" s="77" t="s">
        <v>120</v>
      </c>
    </row>
    <row r="18" spans="1:14" s="55" customFormat="1" x14ac:dyDescent="0.25">
      <c r="A18" s="345" t="s">
        <v>121</v>
      </c>
      <c r="B18" s="345"/>
      <c r="C18" s="345"/>
      <c r="D18" s="345"/>
      <c r="E18" s="345"/>
      <c r="F18" s="345"/>
      <c r="G18" s="345"/>
      <c r="H18" s="345"/>
      <c r="I18" s="345"/>
      <c r="J18" s="345"/>
      <c r="K18" s="345"/>
      <c r="L18" s="345"/>
      <c r="M18" s="345"/>
      <c r="N18" s="345"/>
    </row>
    <row r="19" spans="1:14" s="55" customFormat="1" x14ac:dyDescent="0.25">
      <c r="A19" s="345" t="s">
        <v>122</v>
      </c>
      <c r="B19" s="345"/>
      <c r="C19" s="345"/>
      <c r="D19" s="345"/>
      <c r="E19" s="345"/>
      <c r="F19" s="345"/>
      <c r="G19" s="345"/>
      <c r="H19" s="345"/>
      <c r="I19" s="345"/>
      <c r="J19" s="345"/>
      <c r="K19" s="345"/>
      <c r="L19" s="345"/>
      <c r="M19" s="345"/>
      <c r="N19" s="345"/>
    </row>
    <row r="20" spans="1:14" s="55" customFormat="1" x14ac:dyDescent="0.25">
      <c r="A20" s="345" t="s">
        <v>123</v>
      </c>
      <c r="B20" s="345"/>
      <c r="C20" s="345"/>
      <c r="D20" s="345"/>
      <c r="E20" s="345"/>
      <c r="F20" s="345"/>
      <c r="G20" s="345"/>
      <c r="H20" s="345"/>
      <c r="I20" s="345"/>
      <c r="J20" s="345"/>
      <c r="K20" s="345"/>
      <c r="L20" s="345"/>
      <c r="M20" s="345"/>
      <c r="N20" s="345"/>
    </row>
    <row r="21" spans="1:14" ht="31.5" x14ac:dyDescent="0.25">
      <c r="A21" s="23" t="s">
        <v>124</v>
      </c>
      <c r="B21" s="67" t="s">
        <v>125</v>
      </c>
      <c r="C21" s="22" t="s">
        <v>96</v>
      </c>
      <c r="D21" s="22">
        <v>0.02</v>
      </c>
      <c r="E21" s="69" t="s">
        <v>101</v>
      </c>
      <c r="F21" s="22" t="s">
        <v>126</v>
      </c>
      <c r="G21" s="80">
        <v>71.400000000000006</v>
      </c>
      <c r="H21" s="80">
        <v>85.7</v>
      </c>
      <c r="I21" s="74">
        <v>85.7</v>
      </c>
      <c r="J21" s="74">
        <v>85.7</v>
      </c>
      <c r="K21" s="74">
        <v>85.7</v>
      </c>
      <c r="L21" s="74">
        <v>85.7</v>
      </c>
      <c r="M21" s="74">
        <v>85.7</v>
      </c>
      <c r="N21" s="74">
        <v>85.7</v>
      </c>
    </row>
    <row r="22" spans="1:14" ht="31.5" x14ac:dyDescent="0.25">
      <c r="A22" s="23" t="s">
        <v>127</v>
      </c>
      <c r="B22" s="67" t="s">
        <v>128</v>
      </c>
      <c r="C22" s="22" t="s">
        <v>96</v>
      </c>
      <c r="D22" s="22">
        <v>0.02</v>
      </c>
      <c r="E22" s="69" t="s">
        <v>101</v>
      </c>
      <c r="F22" s="22" t="s">
        <v>126</v>
      </c>
      <c r="G22" s="81">
        <v>75</v>
      </c>
      <c r="H22" s="81">
        <v>75</v>
      </c>
      <c r="I22" s="74">
        <v>75</v>
      </c>
      <c r="J22" s="74">
        <v>85</v>
      </c>
      <c r="K22" s="74">
        <v>85</v>
      </c>
      <c r="L22" s="74">
        <v>85</v>
      </c>
      <c r="M22" s="74">
        <v>85</v>
      </c>
      <c r="N22" s="74">
        <v>85</v>
      </c>
    </row>
    <row r="23" spans="1:14" ht="31.5" x14ac:dyDescent="0.25">
      <c r="A23" s="23" t="s">
        <v>129</v>
      </c>
      <c r="B23" s="67" t="s">
        <v>130</v>
      </c>
      <c r="C23" s="22" t="s">
        <v>131</v>
      </c>
      <c r="D23" s="22">
        <v>0.02</v>
      </c>
      <c r="E23" s="69" t="s">
        <v>101</v>
      </c>
      <c r="F23" s="22"/>
      <c r="G23" s="81">
        <v>8</v>
      </c>
      <c r="H23" s="81">
        <v>8</v>
      </c>
      <c r="I23" s="74">
        <v>8</v>
      </c>
      <c r="J23" s="74">
        <v>8</v>
      </c>
      <c r="K23" s="74">
        <v>8</v>
      </c>
      <c r="L23" s="74">
        <v>8</v>
      </c>
      <c r="M23" s="74">
        <v>8</v>
      </c>
      <c r="N23" s="74">
        <v>8</v>
      </c>
    </row>
    <row r="24" spans="1:14" ht="31.5" x14ac:dyDescent="0.25">
      <c r="A24" s="23" t="s">
        <v>132</v>
      </c>
      <c r="B24" s="67" t="s">
        <v>133</v>
      </c>
      <c r="C24" s="22" t="s">
        <v>96</v>
      </c>
      <c r="D24" s="22">
        <v>0.02</v>
      </c>
      <c r="E24" s="69" t="s">
        <v>101</v>
      </c>
      <c r="F24" s="22"/>
      <c r="G24" s="81">
        <v>100</v>
      </c>
      <c r="H24" s="81">
        <v>100</v>
      </c>
      <c r="I24" s="74">
        <v>100</v>
      </c>
      <c r="J24" s="74">
        <v>100</v>
      </c>
      <c r="K24" s="74">
        <v>100</v>
      </c>
      <c r="L24" s="74">
        <v>100</v>
      </c>
      <c r="M24" s="74">
        <v>100</v>
      </c>
      <c r="N24" s="74">
        <v>100</v>
      </c>
    </row>
    <row r="25" spans="1:14" ht="31.5" x14ac:dyDescent="0.25">
      <c r="A25" s="23" t="s">
        <v>134</v>
      </c>
      <c r="B25" s="67" t="s">
        <v>135</v>
      </c>
      <c r="C25" s="22" t="s">
        <v>131</v>
      </c>
      <c r="D25" s="22">
        <v>0.02</v>
      </c>
      <c r="E25" s="69" t="s">
        <v>101</v>
      </c>
      <c r="F25" s="22" t="s">
        <v>126</v>
      </c>
      <c r="G25" s="81">
        <v>7</v>
      </c>
      <c r="H25" s="81">
        <v>7</v>
      </c>
      <c r="I25" s="81">
        <v>7</v>
      </c>
      <c r="J25" s="81">
        <v>7</v>
      </c>
      <c r="K25" s="81">
        <v>7</v>
      </c>
      <c r="L25" s="81">
        <v>7</v>
      </c>
      <c r="M25" s="81">
        <v>7</v>
      </c>
      <c r="N25" s="81">
        <v>7</v>
      </c>
    </row>
    <row r="26" spans="1:14" s="55" customFormat="1" x14ac:dyDescent="0.25">
      <c r="A26" s="345" t="s">
        <v>136</v>
      </c>
      <c r="B26" s="345"/>
      <c r="C26" s="345"/>
      <c r="D26" s="345"/>
      <c r="E26" s="345"/>
      <c r="F26" s="345"/>
      <c r="G26" s="345"/>
      <c r="H26" s="345"/>
      <c r="I26" s="345"/>
      <c r="J26" s="345"/>
      <c r="K26" s="345"/>
      <c r="L26" s="345"/>
      <c r="M26" s="345"/>
      <c r="N26" s="345"/>
    </row>
    <row r="27" spans="1:14" ht="31.5" x14ac:dyDescent="0.25">
      <c r="A27" s="23" t="s">
        <v>137</v>
      </c>
      <c r="B27" s="67" t="s">
        <v>138</v>
      </c>
      <c r="C27" s="68" t="s">
        <v>96</v>
      </c>
      <c r="D27" s="22">
        <v>0.02</v>
      </c>
      <c r="E27" s="68" t="s">
        <v>101</v>
      </c>
      <c r="F27" s="6">
        <v>15.6</v>
      </c>
      <c r="G27" s="81">
        <v>87.5</v>
      </c>
      <c r="H27" s="81">
        <v>100</v>
      </c>
      <c r="I27" s="81">
        <v>100</v>
      </c>
      <c r="J27" s="81">
        <v>100</v>
      </c>
      <c r="K27" s="81">
        <v>100</v>
      </c>
      <c r="L27" s="82">
        <v>100</v>
      </c>
      <c r="M27" s="82">
        <v>100</v>
      </c>
      <c r="N27" s="82">
        <v>100</v>
      </c>
    </row>
    <row r="28" spans="1:14" ht="31.5" x14ac:dyDescent="0.25">
      <c r="A28" s="23" t="s">
        <v>139</v>
      </c>
      <c r="B28" s="67" t="s">
        <v>140</v>
      </c>
      <c r="C28" s="68" t="s">
        <v>96</v>
      </c>
      <c r="D28" s="22">
        <v>0.03</v>
      </c>
      <c r="E28" s="68" t="s">
        <v>101</v>
      </c>
      <c r="F28" s="6">
        <v>83.66</v>
      </c>
      <c r="G28" s="81">
        <v>89</v>
      </c>
      <c r="H28" s="81">
        <v>90</v>
      </c>
      <c r="I28" s="82">
        <v>95</v>
      </c>
      <c r="J28" s="82">
        <v>95</v>
      </c>
      <c r="K28" s="82">
        <v>95</v>
      </c>
      <c r="L28" s="82">
        <v>95</v>
      </c>
      <c r="M28" s="82">
        <v>95</v>
      </c>
      <c r="N28" s="82">
        <v>95</v>
      </c>
    </row>
    <row r="29" spans="1:14" ht="63" x14ac:dyDescent="0.25">
      <c r="A29" s="23" t="s">
        <v>141</v>
      </c>
      <c r="B29" s="67" t="s">
        <v>142</v>
      </c>
      <c r="C29" s="68" t="s">
        <v>96</v>
      </c>
      <c r="D29" s="22">
        <v>0.03</v>
      </c>
      <c r="E29" s="68" t="s">
        <v>101</v>
      </c>
      <c r="F29" s="83">
        <v>90</v>
      </c>
      <c r="G29" s="81">
        <v>10.1</v>
      </c>
      <c r="H29" s="81">
        <v>10.1</v>
      </c>
      <c r="I29" s="82">
        <v>10.1</v>
      </c>
      <c r="J29" s="82">
        <v>9.1</v>
      </c>
      <c r="K29" s="82">
        <v>9.5</v>
      </c>
      <c r="L29" s="82">
        <v>10.1</v>
      </c>
      <c r="M29" s="82">
        <v>10.1</v>
      </c>
      <c r="N29" s="82">
        <v>10.1</v>
      </c>
    </row>
    <row r="30" spans="1:14" s="84" customFormat="1" ht="63" x14ac:dyDescent="0.2">
      <c r="A30" s="23" t="s">
        <v>143</v>
      </c>
      <c r="B30" s="67" t="s">
        <v>144</v>
      </c>
      <c r="C30" s="22" t="s">
        <v>96</v>
      </c>
      <c r="D30" s="22">
        <v>0.03</v>
      </c>
      <c r="E30" s="69" t="s">
        <v>98</v>
      </c>
      <c r="F30" s="74">
        <v>2.34</v>
      </c>
      <c r="G30" s="81">
        <v>1.1299999999999999</v>
      </c>
      <c r="H30" s="81">
        <v>1.57</v>
      </c>
      <c r="I30" s="81">
        <v>1.72</v>
      </c>
      <c r="J30" s="81">
        <v>1.86</v>
      </c>
      <c r="K30" s="81">
        <v>1.87</v>
      </c>
      <c r="L30" s="81">
        <v>1.9</v>
      </c>
      <c r="M30" s="81">
        <v>1.9</v>
      </c>
      <c r="N30" s="81">
        <v>1.9</v>
      </c>
    </row>
    <row r="31" spans="1:14" ht="47.25" x14ac:dyDescent="0.25">
      <c r="A31" s="23" t="s">
        <v>145</v>
      </c>
      <c r="B31" s="67" t="s">
        <v>146</v>
      </c>
      <c r="C31" s="68" t="s">
        <v>96</v>
      </c>
      <c r="D31" s="22">
        <v>0.02</v>
      </c>
      <c r="E31" s="68" t="s">
        <v>101</v>
      </c>
      <c r="F31" s="6">
        <v>9.7799999999999994</v>
      </c>
      <c r="G31" s="80">
        <v>39</v>
      </c>
      <c r="H31" s="80">
        <v>41</v>
      </c>
      <c r="I31" s="82">
        <v>41</v>
      </c>
      <c r="J31" s="85">
        <v>42.5</v>
      </c>
      <c r="K31" s="85">
        <v>48.8</v>
      </c>
      <c r="L31" s="85">
        <v>50.2</v>
      </c>
      <c r="M31" s="85">
        <v>50.2</v>
      </c>
      <c r="N31" s="85">
        <v>50.2</v>
      </c>
    </row>
    <row r="32" spans="1:14" ht="63" x14ac:dyDescent="0.25">
      <c r="A32" s="23" t="s">
        <v>147</v>
      </c>
      <c r="B32" s="67" t="s">
        <v>148</v>
      </c>
      <c r="C32" s="86" t="s">
        <v>96</v>
      </c>
      <c r="D32" s="22">
        <v>0.03</v>
      </c>
      <c r="E32" s="68" t="s">
        <v>101</v>
      </c>
      <c r="F32" s="86">
        <v>83</v>
      </c>
      <c r="G32" s="80">
        <v>0</v>
      </c>
      <c r="H32" s="80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</row>
    <row r="33" spans="1:14" ht="47.25" x14ac:dyDescent="0.25">
      <c r="A33" s="23" t="s">
        <v>149</v>
      </c>
      <c r="B33" s="67" t="s">
        <v>150</v>
      </c>
      <c r="C33" s="86" t="s">
        <v>96</v>
      </c>
      <c r="D33" s="22">
        <v>0.02</v>
      </c>
      <c r="E33" s="68" t="s">
        <v>101</v>
      </c>
      <c r="F33" s="87">
        <v>35</v>
      </c>
      <c r="G33" s="88">
        <v>93.5</v>
      </c>
      <c r="H33" s="88">
        <v>93.5</v>
      </c>
      <c r="I33" s="85">
        <v>95</v>
      </c>
      <c r="J33" s="85">
        <v>100</v>
      </c>
      <c r="K33" s="85">
        <v>100</v>
      </c>
      <c r="L33" s="85">
        <v>100</v>
      </c>
      <c r="M33" s="85">
        <v>100</v>
      </c>
      <c r="N33" s="85">
        <v>100</v>
      </c>
    </row>
    <row r="34" spans="1:14" ht="47.25" x14ac:dyDescent="0.25">
      <c r="A34" s="23" t="s">
        <v>151</v>
      </c>
      <c r="B34" s="67" t="s">
        <v>152</v>
      </c>
      <c r="C34" s="86" t="s">
        <v>96</v>
      </c>
      <c r="D34" s="22">
        <v>0.02</v>
      </c>
      <c r="E34" s="68" t="s">
        <v>101</v>
      </c>
      <c r="F34" s="87">
        <v>45</v>
      </c>
      <c r="G34" s="88">
        <v>92</v>
      </c>
      <c r="H34" s="88">
        <v>92</v>
      </c>
      <c r="I34" s="85">
        <v>92</v>
      </c>
      <c r="J34" s="85">
        <v>100</v>
      </c>
      <c r="K34" s="85">
        <v>100</v>
      </c>
      <c r="L34" s="85">
        <v>100</v>
      </c>
      <c r="M34" s="85">
        <v>100</v>
      </c>
      <c r="N34" s="85">
        <v>100</v>
      </c>
    </row>
    <row r="35" spans="1:14" ht="31.5" x14ac:dyDescent="0.25">
      <c r="A35" s="23" t="s">
        <v>153</v>
      </c>
      <c r="B35" s="67" t="s">
        <v>154</v>
      </c>
      <c r="C35" s="86" t="s">
        <v>96</v>
      </c>
      <c r="D35" s="22">
        <v>0.02</v>
      </c>
      <c r="E35" s="68" t="s">
        <v>101</v>
      </c>
      <c r="F35" s="87">
        <v>1</v>
      </c>
      <c r="G35" s="81">
        <v>96</v>
      </c>
      <c r="H35" s="81">
        <v>96.5</v>
      </c>
      <c r="I35" s="82">
        <v>97</v>
      </c>
      <c r="J35" s="82">
        <v>97</v>
      </c>
      <c r="K35" s="82">
        <v>98</v>
      </c>
      <c r="L35" s="82">
        <v>98</v>
      </c>
      <c r="M35" s="82">
        <v>98</v>
      </c>
      <c r="N35" s="82">
        <v>98</v>
      </c>
    </row>
    <row r="36" spans="1:14" ht="94.5" x14ac:dyDescent="0.25">
      <c r="A36" s="23" t="s">
        <v>155</v>
      </c>
      <c r="B36" s="67" t="s">
        <v>156</v>
      </c>
      <c r="C36" s="68" t="s">
        <v>96</v>
      </c>
      <c r="D36" s="22">
        <v>0.02</v>
      </c>
      <c r="E36" s="68" t="s">
        <v>101</v>
      </c>
      <c r="F36" s="68" t="s">
        <v>126</v>
      </c>
      <c r="G36" s="81">
        <v>2.5</v>
      </c>
      <c r="H36" s="81">
        <v>3</v>
      </c>
      <c r="I36" s="82">
        <v>3.4</v>
      </c>
      <c r="J36" s="82">
        <v>2.4</v>
      </c>
      <c r="K36" s="82">
        <v>2.8</v>
      </c>
      <c r="L36" s="82">
        <v>2.8</v>
      </c>
      <c r="M36" s="82">
        <v>2.8</v>
      </c>
      <c r="N36" s="82">
        <v>2.8</v>
      </c>
    </row>
    <row r="37" spans="1:14" s="55" customFormat="1" x14ac:dyDescent="0.25">
      <c r="A37" s="345" t="s">
        <v>157</v>
      </c>
      <c r="B37" s="345"/>
      <c r="C37" s="345"/>
      <c r="D37" s="345"/>
      <c r="E37" s="345"/>
      <c r="F37" s="345"/>
      <c r="G37" s="345"/>
      <c r="H37" s="345"/>
      <c r="I37" s="345"/>
      <c r="J37" s="345"/>
      <c r="K37" s="345"/>
      <c r="L37" s="345"/>
      <c r="M37" s="345"/>
      <c r="N37" s="345"/>
    </row>
    <row r="38" spans="1:14" ht="31.5" x14ac:dyDescent="0.25">
      <c r="A38" s="89" t="s">
        <v>158</v>
      </c>
      <c r="B38" s="67" t="s">
        <v>159</v>
      </c>
      <c r="C38" s="22" t="s">
        <v>96</v>
      </c>
      <c r="D38" s="22">
        <v>0.03</v>
      </c>
      <c r="E38" s="69" t="s">
        <v>101</v>
      </c>
      <c r="F38" s="68">
        <v>70</v>
      </c>
      <c r="G38" s="81">
        <v>75</v>
      </c>
      <c r="H38" s="81">
        <v>75</v>
      </c>
      <c r="I38" s="90">
        <v>75</v>
      </c>
      <c r="J38" s="90">
        <v>93</v>
      </c>
      <c r="K38" s="90">
        <v>93</v>
      </c>
      <c r="L38" s="90">
        <v>75</v>
      </c>
      <c r="M38" s="90">
        <v>75</v>
      </c>
      <c r="N38" s="90">
        <v>75</v>
      </c>
    </row>
    <row r="39" spans="1:14" ht="31.5" x14ac:dyDescent="0.25">
      <c r="A39" s="89" t="s">
        <v>160</v>
      </c>
      <c r="B39" s="91" t="s">
        <v>161</v>
      </c>
      <c r="C39" s="24" t="s">
        <v>96</v>
      </c>
      <c r="D39" s="24">
        <v>0.03</v>
      </c>
      <c r="E39" s="92" t="s">
        <v>101</v>
      </c>
      <c r="F39" s="73"/>
      <c r="G39" s="88">
        <v>67</v>
      </c>
      <c r="H39" s="88">
        <v>70</v>
      </c>
      <c r="I39" s="71">
        <v>72</v>
      </c>
      <c r="J39" s="71">
        <v>72</v>
      </c>
      <c r="K39" s="71">
        <v>72</v>
      </c>
      <c r="L39" s="71">
        <v>72</v>
      </c>
      <c r="M39" s="71">
        <v>72</v>
      </c>
      <c r="N39" s="71">
        <v>72</v>
      </c>
    </row>
    <row r="40" spans="1:14" ht="31.5" x14ac:dyDescent="0.25">
      <c r="A40" s="89" t="s">
        <v>162</v>
      </c>
      <c r="B40" s="91" t="s">
        <v>163</v>
      </c>
      <c r="C40" s="22" t="s">
        <v>96</v>
      </c>
      <c r="D40" s="22">
        <v>0.03</v>
      </c>
      <c r="E40" s="69" t="s">
        <v>101</v>
      </c>
      <c r="F40" s="68" t="s">
        <v>126</v>
      </c>
      <c r="G40" s="81">
        <v>15</v>
      </c>
      <c r="H40" s="81">
        <v>15</v>
      </c>
      <c r="I40" s="90">
        <v>16.5</v>
      </c>
      <c r="J40" s="90">
        <v>18.3</v>
      </c>
      <c r="K40" s="90">
        <v>19.100000000000001</v>
      </c>
      <c r="L40" s="90">
        <v>19.5</v>
      </c>
      <c r="M40" s="90">
        <v>19.5</v>
      </c>
      <c r="N40" s="90">
        <v>19.5</v>
      </c>
    </row>
    <row r="41" spans="1:14" s="55" customFormat="1" x14ac:dyDescent="0.25">
      <c r="A41" s="345" t="s">
        <v>164</v>
      </c>
      <c r="B41" s="345"/>
      <c r="C41" s="345"/>
      <c r="D41" s="345"/>
      <c r="E41" s="345"/>
      <c r="F41" s="345"/>
      <c r="G41" s="345"/>
      <c r="H41" s="345"/>
      <c r="I41" s="345"/>
      <c r="J41" s="345"/>
      <c r="K41" s="345"/>
      <c r="L41" s="345"/>
      <c r="M41" s="345"/>
      <c r="N41" s="345"/>
    </row>
    <row r="42" spans="1:14" ht="63" x14ac:dyDescent="0.25">
      <c r="A42" s="89" t="s">
        <v>165</v>
      </c>
      <c r="B42" s="91" t="s">
        <v>166</v>
      </c>
      <c r="C42" s="22" t="s">
        <v>96</v>
      </c>
      <c r="D42" s="22">
        <v>0.03</v>
      </c>
      <c r="E42" s="69" t="s">
        <v>101</v>
      </c>
      <c r="F42" s="68">
        <v>78.400000000000006</v>
      </c>
      <c r="G42" s="90">
        <v>80.2</v>
      </c>
      <c r="H42" s="90">
        <v>80.400000000000006</v>
      </c>
      <c r="I42" s="90">
        <v>80.5</v>
      </c>
      <c r="J42" s="90">
        <v>80.5</v>
      </c>
      <c r="K42" s="90">
        <v>80.5</v>
      </c>
      <c r="L42" s="90">
        <v>80.5</v>
      </c>
      <c r="M42" s="90">
        <v>80.5</v>
      </c>
      <c r="N42" s="90">
        <v>80.5</v>
      </c>
    </row>
    <row r="43" spans="1:14" s="55" customFormat="1" x14ac:dyDescent="0.25">
      <c r="A43" s="345" t="s">
        <v>167</v>
      </c>
      <c r="B43" s="345"/>
      <c r="C43" s="345"/>
      <c r="D43" s="345"/>
      <c r="E43" s="345"/>
      <c r="F43" s="345"/>
      <c r="G43" s="345"/>
      <c r="H43" s="345"/>
      <c r="I43" s="345"/>
      <c r="J43" s="345"/>
      <c r="K43" s="345"/>
      <c r="L43" s="345"/>
      <c r="M43" s="345"/>
      <c r="N43" s="345"/>
    </row>
    <row r="44" spans="1:14" s="55" customFormat="1" x14ac:dyDescent="0.25">
      <c r="A44" s="345" t="s">
        <v>168</v>
      </c>
      <c r="B44" s="345"/>
      <c r="C44" s="345"/>
      <c r="D44" s="345"/>
      <c r="E44" s="345"/>
      <c r="F44" s="345"/>
      <c r="G44" s="345"/>
      <c r="H44" s="345"/>
      <c r="I44" s="345"/>
      <c r="J44" s="345"/>
      <c r="K44" s="345"/>
      <c r="L44" s="345"/>
      <c r="M44" s="345"/>
      <c r="N44" s="345"/>
    </row>
    <row r="45" spans="1:14" s="55" customFormat="1" x14ac:dyDescent="0.25">
      <c r="A45" s="345" t="s">
        <v>169</v>
      </c>
      <c r="B45" s="345"/>
      <c r="C45" s="345"/>
      <c r="D45" s="345"/>
      <c r="E45" s="345"/>
      <c r="F45" s="345"/>
      <c r="G45" s="345"/>
      <c r="H45" s="345"/>
      <c r="I45" s="345"/>
      <c r="J45" s="345"/>
      <c r="K45" s="345"/>
      <c r="L45" s="345"/>
      <c r="M45" s="345"/>
      <c r="N45" s="345"/>
    </row>
    <row r="46" spans="1:14" ht="31.5" x14ac:dyDescent="0.25">
      <c r="A46" s="23" t="s">
        <v>170</v>
      </c>
      <c r="B46" s="67" t="s">
        <v>171</v>
      </c>
      <c r="C46" s="86" t="s">
        <v>96</v>
      </c>
      <c r="D46" s="22">
        <v>0.04</v>
      </c>
      <c r="E46" s="68" t="s">
        <v>101</v>
      </c>
      <c r="F46" s="74">
        <v>97.09</v>
      </c>
      <c r="G46" s="69">
        <v>82.9</v>
      </c>
      <c r="H46" s="69">
        <v>82.9</v>
      </c>
      <c r="I46" s="69">
        <v>93.2</v>
      </c>
      <c r="J46" s="69">
        <v>93.7</v>
      </c>
      <c r="K46" s="69">
        <v>94</v>
      </c>
      <c r="L46" s="69">
        <v>94</v>
      </c>
      <c r="M46" s="69">
        <v>94</v>
      </c>
      <c r="N46" s="69">
        <v>94</v>
      </c>
    </row>
    <row r="47" spans="1:14" s="55" customFormat="1" x14ac:dyDescent="0.25">
      <c r="A47" s="345" t="s">
        <v>172</v>
      </c>
      <c r="B47" s="345"/>
      <c r="C47" s="345"/>
      <c r="D47" s="345"/>
      <c r="E47" s="345"/>
      <c r="F47" s="345"/>
      <c r="G47" s="345"/>
      <c r="H47" s="345"/>
      <c r="I47" s="345"/>
      <c r="J47" s="345"/>
      <c r="K47" s="345"/>
      <c r="L47" s="345"/>
      <c r="M47" s="345"/>
      <c r="N47" s="345"/>
    </row>
    <row r="48" spans="1:14" ht="31.5" x14ac:dyDescent="0.25">
      <c r="A48" s="23" t="s">
        <v>173</v>
      </c>
      <c r="B48" s="93" t="s">
        <v>174</v>
      </c>
      <c r="C48" s="86" t="s">
        <v>96</v>
      </c>
      <c r="D48" s="22">
        <v>0.04</v>
      </c>
      <c r="E48" s="69" t="s">
        <v>101</v>
      </c>
      <c r="F48" s="94">
        <v>134</v>
      </c>
      <c r="G48" s="69">
        <v>73</v>
      </c>
      <c r="H48" s="69">
        <v>74</v>
      </c>
      <c r="I48" s="69">
        <v>89</v>
      </c>
      <c r="J48" s="69">
        <v>90</v>
      </c>
      <c r="K48" s="69">
        <v>92</v>
      </c>
      <c r="L48" s="69">
        <v>95</v>
      </c>
      <c r="M48" s="69">
        <v>95</v>
      </c>
      <c r="N48" s="69">
        <v>95</v>
      </c>
    </row>
    <row r="49" spans="1:14" ht="47.25" x14ac:dyDescent="0.25">
      <c r="A49" s="23" t="s">
        <v>175</v>
      </c>
      <c r="B49" s="93" t="s">
        <v>176</v>
      </c>
      <c r="C49" s="86" t="s">
        <v>96</v>
      </c>
      <c r="D49" s="22">
        <v>0.04</v>
      </c>
      <c r="E49" s="68" t="s">
        <v>101</v>
      </c>
      <c r="F49" s="68">
        <v>15.6</v>
      </c>
      <c r="G49" s="69">
        <v>70</v>
      </c>
      <c r="H49" s="69">
        <v>70</v>
      </c>
      <c r="I49" s="69">
        <v>95</v>
      </c>
      <c r="J49" s="69">
        <v>97</v>
      </c>
      <c r="K49" s="69">
        <v>97</v>
      </c>
      <c r="L49" s="69">
        <v>98</v>
      </c>
      <c r="M49" s="69">
        <v>98</v>
      </c>
      <c r="N49" s="69">
        <v>98</v>
      </c>
    </row>
    <row r="50" spans="1:14" s="55" customFormat="1" x14ac:dyDescent="0.25">
      <c r="A50" s="345" t="s">
        <v>177</v>
      </c>
      <c r="B50" s="345"/>
      <c r="C50" s="345"/>
      <c r="D50" s="345"/>
      <c r="E50" s="345"/>
      <c r="F50" s="345"/>
      <c r="G50" s="345"/>
      <c r="H50" s="345"/>
      <c r="I50" s="345"/>
      <c r="J50" s="345"/>
      <c r="K50" s="345"/>
      <c r="L50" s="345"/>
      <c r="M50" s="345"/>
      <c r="N50" s="345"/>
    </row>
    <row r="51" spans="1:14" s="55" customFormat="1" x14ac:dyDescent="0.25">
      <c r="A51" s="345" t="s">
        <v>178</v>
      </c>
      <c r="B51" s="345"/>
      <c r="C51" s="345"/>
      <c r="D51" s="345"/>
      <c r="E51" s="345"/>
      <c r="F51" s="345"/>
      <c r="G51" s="345"/>
      <c r="H51" s="345"/>
      <c r="I51" s="345"/>
      <c r="J51" s="345"/>
      <c r="K51" s="345"/>
      <c r="L51" s="345"/>
      <c r="M51" s="345"/>
      <c r="N51" s="345"/>
    </row>
    <row r="52" spans="1:14" s="55" customFormat="1" x14ac:dyDescent="0.25">
      <c r="A52" s="345" t="s">
        <v>179</v>
      </c>
      <c r="B52" s="345"/>
      <c r="C52" s="345"/>
      <c r="D52" s="345"/>
      <c r="E52" s="345"/>
      <c r="F52" s="345"/>
      <c r="G52" s="345"/>
      <c r="H52" s="345"/>
      <c r="I52" s="345"/>
      <c r="J52" s="345"/>
      <c r="K52" s="345"/>
      <c r="L52" s="345"/>
      <c r="M52" s="345"/>
      <c r="N52" s="345"/>
    </row>
    <row r="53" spans="1:14" ht="31.5" x14ac:dyDescent="0.25">
      <c r="A53" s="95" t="s">
        <v>180</v>
      </c>
      <c r="B53" s="96" t="s">
        <v>181</v>
      </c>
      <c r="C53" s="97" t="s">
        <v>182</v>
      </c>
      <c r="D53" s="98">
        <v>0.03</v>
      </c>
      <c r="E53" s="99" t="s">
        <v>21</v>
      </c>
      <c r="F53" s="100"/>
      <c r="G53" s="101">
        <v>1460</v>
      </c>
      <c r="H53" s="101">
        <v>1470</v>
      </c>
      <c r="I53" s="97">
        <v>1470</v>
      </c>
      <c r="J53" s="97">
        <v>2863</v>
      </c>
      <c r="K53" s="97">
        <v>3174</v>
      </c>
      <c r="L53" s="97">
        <v>3205</v>
      </c>
      <c r="M53" s="97">
        <v>3205</v>
      </c>
      <c r="N53" s="97">
        <v>3205</v>
      </c>
    </row>
    <row r="54" spans="1:14" ht="31.5" x14ac:dyDescent="0.25">
      <c r="A54" s="97" t="s">
        <v>183</v>
      </c>
      <c r="B54" s="96" t="s">
        <v>184</v>
      </c>
      <c r="C54" s="97" t="s">
        <v>182</v>
      </c>
      <c r="D54" s="97">
        <v>0.01</v>
      </c>
      <c r="E54" s="99" t="s">
        <v>21</v>
      </c>
      <c r="F54" s="100"/>
      <c r="G54" s="101">
        <v>28870</v>
      </c>
      <c r="H54" s="101">
        <v>29600</v>
      </c>
      <c r="I54" s="97">
        <v>30690</v>
      </c>
      <c r="J54" s="97">
        <v>32180</v>
      </c>
      <c r="K54" s="97">
        <v>33390</v>
      </c>
      <c r="L54" s="97">
        <v>33390</v>
      </c>
      <c r="M54" s="97">
        <v>33390</v>
      </c>
      <c r="N54" s="97">
        <v>33390</v>
      </c>
    </row>
    <row r="55" spans="1:14" ht="63" x14ac:dyDescent="0.25">
      <c r="A55" s="95" t="s">
        <v>185</v>
      </c>
      <c r="B55" s="96" t="s">
        <v>186</v>
      </c>
      <c r="C55" s="97" t="s">
        <v>182</v>
      </c>
      <c r="D55" s="97">
        <v>0.01</v>
      </c>
      <c r="E55" s="99" t="s">
        <v>21</v>
      </c>
      <c r="F55" s="100"/>
      <c r="G55" s="101">
        <v>17972</v>
      </c>
      <c r="H55" s="101">
        <v>18638</v>
      </c>
      <c r="I55" s="97">
        <v>19328</v>
      </c>
      <c r="J55" s="97">
        <v>21911</v>
      </c>
      <c r="K55" s="97">
        <v>24405</v>
      </c>
      <c r="L55" s="97">
        <v>24405</v>
      </c>
      <c r="M55" s="97">
        <v>24405</v>
      </c>
      <c r="N55" s="97">
        <v>24405</v>
      </c>
    </row>
    <row r="56" spans="1:14" ht="31.5" x14ac:dyDescent="0.25">
      <c r="A56" s="23" t="s">
        <v>187</v>
      </c>
      <c r="B56" s="93" t="s">
        <v>188</v>
      </c>
      <c r="C56" s="68" t="s">
        <v>189</v>
      </c>
      <c r="D56" s="68">
        <v>0.02</v>
      </c>
      <c r="E56" s="102" t="s">
        <v>101</v>
      </c>
      <c r="F56" s="70"/>
      <c r="G56" s="5">
        <v>25.02</v>
      </c>
      <c r="H56" s="5">
        <v>25</v>
      </c>
      <c r="I56" s="68">
        <v>25</v>
      </c>
      <c r="J56" s="68">
        <v>23.9</v>
      </c>
      <c r="K56" s="68">
        <v>24</v>
      </c>
      <c r="L56" s="68">
        <v>24</v>
      </c>
      <c r="M56" s="68">
        <v>24</v>
      </c>
      <c r="N56" s="68">
        <v>24</v>
      </c>
    </row>
    <row r="57" spans="1:14" ht="31.5" x14ac:dyDescent="0.25">
      <c r="A57" s="23" t="s">
        <v>190</v>
      </c>
      <c r="B57" s="93" t="s">
        <v>191</v>
      </c>
      <c r="C57" s="68" t="s">
        <v>189</v>
      </c>
      <c r="D57" s="68">
        <v>0.02</v>
      </c>
      <c r="E57" s="102" t="s">
        <v>101</v>
      </c>
      <c r="F57" s="70"/>
      <c r="G57" s="5">
        <v>18.82</v>
      </c>
      <c r="H57" s="5">
        <v>18.82</v>
      </c>
      <c r="I57" s="68">
        <v>18.8</v>
      </c>
      <c r="J57" s="68">
        <v>17</v>
      </c>
      <c r="K57" s="68">
        <v>17</v>
      </c>
      <c r="L57" s="68">
        <v>17</v>
      </c>
      <c r="M57" s="68">
        <v>17</v>
      </c>
      <c r="N57" s="68">
        <v>17</v>
      </c>
    </row>
    <row r="58" spans="1:14" ht="78.75" x14ac:dyDescent="0.25">
      <c r="A58" s="68" t="s">
        <v>192</v>
      </c>
      <c r="B58" s="93" t="s">
        <v>193</v>
      </c>
      <c r="C58" s="68" t="s">
        <v>194</v>
      </c>
      <c r="D58" s="68">
        <v>0.02</v>
      </c>
      <c r="E58" s="102" t="s">
        <v>101</v>
      </c>
      <c r="F58" s="70"/>
      <c r="G58" s="5">
        <v>0.7</v>
      </c>
      <c r="H58" s="5">
        <v>0.7</v>
      </c>
      <c r="I58" s="68">
        <v>0.7</v>
      </c>
      <c r="J58" s="68">
        <v>0.7</v>
      </c>
      <c r="K58" s="68">
        <v>0.7</v>
      </c>
      <c r="L58" s="68">
        <v>0.7</v>
      </c>
      <c r="M58" s="68">
        <v>0.7</v>
      </c>
      <c r="N58" s="68">
        <v>0.7</v>
      </c>
    </row>
    <row r="59" spans="1:14" ht="31.5" x14ac:dyDescent="0.25">
      <c r="A59" s="68" t="s">
        <v>195</v>
      </c>
      <c r="B59" s="93" t="s">
        <v>196</v>
      </c>
      <c r="C59" s="68" t="s">
        <v>131</v>
      </c>
      <c r="D59" s="68">
        <v>0.03</v>
      </c>
      <c r="E59" s="102" t="s">
        <v>21</v>
      </c>
      <c r="F59" s="70"/>
      <c r="G59" s="68">
        <v>18</v>
      </c>
      <c r="H59" s="68">
        <v>18</v>
      </c>
      <c r="I59" s="68">
        <v>18</v>
      </c>
      <c r="J59" s="68">
        <v>14</v>
      </c>
      <c r="K59" s="68">
        <v>14</v>
      </c>
      <c r="L59" s="68">
        <v>14</v>
      </c>
      <c r="M59" s="68">
        <v>14</v>
      </c>
      <c r="N59" s="68">
        <v>14</v>
      </c>
    </row>
    <row r="60" spans="1:14" ht="66" customHeight="1" x14ac:dyDescent="0.25">
      <c r="A60" s="68" t="s">
        <v>197</v>
      </c>
      <c r="B60" s="93" t="s">
        <v>198</v>
      </c>
      <c r="C60" s="68" t="s">
        <v>199</v>
      </c>
      <c r="D60" s="68">
        <v>0.01</v>
      </c>
      <c r="E60" s="102" t="s">
        <v>200</v>
      </c>
      <c r="F60" s="70"/>
      <c r="G60" s="68">
        <v>5</v>
      </c>
      <c r="H60" s="68">
        <v>5</v>
      </c>
      <c r="I60" s="68">
        <v>5</v>
      </c>
      <c r="J60" s="68">
        <v>5</v>
      </c>
      <c r="K60" s="68">
        <v>5</v>
      </c>
      <c r="L60" s="68">
        <v>5</v>
      </c>
      <c r="M60" s="68">
        <v>5</v>
      </c>
      <c r="N60" s="68">
        <v>5</v>
      </c>
    </row>
    <row r="61" spans="1:14" ht="47.25" x14ac:dyDescent="0.25">
      <c r="A61" s="68" t="s">
        <v>201</v>
      </c>
      <c r="B61" s="93" t="s">
        <v>202</v>
      </c>
      <c r="C61" s="68" t="s">
        <v>199</v>
      </c>
      <c r="D61" s="68">
        <v>0.01</v>
      </c>
      <c r="E61" s="102" t="s">
        <v>200</v>
      </c>
      <c r="F61" s="70"/>
      <c r="G61" s="22">
        <v>5</v>
      </c>
      <c r="H61" s="22">
        <v>5</v>
      </c>
      <c r="I61" s="22">
        <v>5</v>
      </c>
      <c r="J61" s="22">
        <v>5</v>
      </c>
      <c r="K61" s="22">
        <v>5</v>
      </c>
      <c r="L61" s="22">
        <v>5</v>
      </c>
      <c r="M61" s="22">
        <v>5</v>
      </c>
      <c r="N61" s="22">
        <v>5</v>
      </c>
    </row>
    <row r="62" spans="1:14" ht="126" x14ac:dyDescent="0.25">
      <c r="A62" s="68" t="s">
        <v>203</v>
      </c>
      <c r="B62" s="93" t="s">
        <v>204</v>
      </c>
      <c r="C62" s="68" t="s">
        <v>199</v>
      </c>
      <c r="D62" s="68">
        <v>0.01</v>
      </c>
      <c r="E62" s="102" t="s">
        <v>200</v>
      </c>
      <c r="F62" s="70"/>
      <c r="G62" s="22">
        <v>5</v>
      </c>
      <c r="H62" s="22">
        <v>5</v>
      </c>
      <c r="I62" s="22">
        <v>5</v>
      </c>
      <c r="J62" s="22">
        <v>5</v>
      </c>
      <c r="K62" s="22">
        <v>5</v>
      </c>
      <c r="L62" s="22">
        <v>5</v>
      </c>
      <c r="M62" s="22">
        <v>5</v>
      </c>
      <c r="N62" s="22">
        <v>5</v>
      </c>
    </row>
    <row r="63" spans="1:14" ht="94.5" x14ac:dyDescent="0.25">
      <c r="A63" s="68" t="s">
        <v>205</v>
      </c>
      <c r="B63" s="93" t="s">
        <v>206</v>
      </c>
      <c r="C63" s="68" t="s">
        <v>199</v>
      </c>
      <c r="D63" s="68">
        <v>0.01</v>
      </c>
      <c r="E63" s="102" t="s">
        <v>200</v>
      </c>
      <c r="F63" s="70"/>
      <c r="G63" s="22">
        <v>5</v>
      </c>
      <c r="H63" s="22">
        <v>5</v>
      </c>
      <c r="I63" s="22">
        <v>5</v>
      </c>
      <c r="J63" s="22">
        <v>5</v>
      </c>
      <c r="K63" s="22">
        <v>5</v>
      </c>
      <c r="L63" s="22">
        <v>5</v>
      </c>
      <c r="M63" s="22">
        <v>5</v>
      </c>
      <c r="N63" s="22">
        <v>5</v>
      </c>
    </row>
    <row r="64" spans="1:14" ht="47.25" x14ac:dyDescent="0.25">
      <c r="A64" s="68" t="s">
        <v>207</v>
      </c>
      <c r="B64" s="103" t="s">
        <v>208</v>
      </c>
      <c r="C64" s="68" t="s">
        <v>199</v>
      </c>
      <c r="D64" s="68">
        <v>0.01</v>
      </c>
      <c r="E64" s="102" t="s">
        <v>200</v>
      </c>
      <c r="F64" s="70"/>
      <c r="G64" s="22">
        <v>5</v>
      </c>
      <c r="H64" s="22">
        <v>5</v>
      </c>
      <c r="I64" s="22">
        <v>5</v>
      </c>
      <c r="J64" s="22">
        <v>5</v>
      </c>
      <c r="K64" s="22">
        <v>5</v>
      </c>
      <c r="L64" s="22">
        <v>5</v>
      </c>
      <c r="M64" s="22">
        <v>5</v>
      </c>
      <c r="N64" s="22">
        <v>5</v>
      </c>
    </row>
    <row r="65" spans="1:14" ht="47.25" x14ac:dyDescent="0.25">
      <c r="A65" s="68" t="s">
        <v>209</v>
      </c>
      <c r="B65" s="103" t="s">
        <v>210</v>
      </c>
      <c r="C65" s="68" t="s">
        <v>199</v>
      </c>
      <c r="D65" s="68">
        <v>0.01</v>
      </c>
      <c r="E65" s="102" t="s">
        <v>200</v>
      </c>
      <c r="F65" s="70"/>
      <c r="G65" s="22">
        <v>5</v>
      </c>
      <c r="H65" s="22">
        <v>5</v>
      </c>
      <c r="I65" s="22">
        <v>5</v>
      </c>
      <c r="J65" s="22">
        <v>5</v>
      </c>
      <c r="K65" s="22">
        <v>5</v>
      </c>
      <c r="L65" s="22">
        <v>5</v>
      </c>
      <c r="M65" s="22">
        <v>5</v>
      </c>
      <c r="N65" s="22">
        <v>5</v>
      </c>
    </row>
    <row r="66" spans="1:14" ht="47.25" x14ac:dyDescent="0.25">
      <c r="A66" s="23" t="s">
        <v>211</v>
      </c>
      <c r="B66" s="93" t="s">
        <v>212</v>
      </c>
      <c r="C66" s="68" t="s">
        <v>199</v>
      </c>
      <c r="D66" s="68">
        <v>0.01</v>
      </c>
      <c r="E66" s="102" t="s">
        <v>200</v>
      </c>
      <c r="F66" s="70"/>
      <c r="G66" s="22">
        <v>5</v>
      </c>
      <c r="H66" s="22">
        <v>5</v>
      </c>
      <c r="I66" s="22">
        <v>5</v>
      </c>
      <c r="J66" s="22">
        <v>5</v>
      </c>
      <c r="K66" s="22">
        <v>5</v>
      </c>
      <c r="L66" s="22">
        <v>5</v>
      </c>
      <c r="M66" s="22">
        <v>5</v>
      </c>
      <c r="N66" s="22">
        <v>5</v>
      </c>
    </row>
    <row r="67" spans="1:14" ht="47.25" x14ac:dyDescent="0.25">
      <c r="A67" s="23" t="s">
        <v>213</v>
      </c>
      <c r="B67" s="93" t="s">
        <v>214</v>
      </c>
      <c r="C67" s="68" t="s">
        <v>199</v>
      </c>
      <c r="D67" s="68">
        <v>0.01</v>
      </c>
      <c r="E67" s="102" t="s">
        <v>200</v>
      </c>
      <c r="F67" s="70"/>
      <c r="G67" s="22">
        <v>5</v>
      </c>
      <c r="H67" s="22">
        <v>5</v>
      </c>
      <c r="I67" s="22">
        <v>5</v>
      </c>
      <c r="J67" s="22">
        <v>5</v>
      </c>
      <c r="K67" s="22">
        <v>5</v>
      </c>
      <c r="L67" s="22">
        <v>5</v>
      </c>
      <c r="M67" s="22">
        <v>5</v>
      </c>
      <c r="N67" s="22">
        <v>5</v>
      </c>
    </row>
    <row r="68" spans="1:14" ht="47.25" x14ac:dyDescent="0.25">
      <c r="A68" s="23" t="s">
        <v>215</v>
      </c>
      <c r="B68" s="93" t="s">
        <v>216</v>
      </c>
      <c r="C68" s="68" t="s">
        <v>199</v>
      </c>
      <c r="D68" s="68">
        <v>0.01</v>
      </c>
      <c r="E68" s="102" t="s">
        <v>200</v>
      </c>
      <c r="F68" s="70"/>
      <c r="G68" s="22">
        <v>5</v>
      </c>
      <c r="H68" s="22">
        <v>5</v>
      </c>
      <c r="I68" s="22">
        <v>5</v>
      </c>
      <c r="J68" s="22">
        <v>5</v>
      </c>
      <c r="K68" s="22">
        <v>5</v>
      </c>
      <c r="L68" s="22">
        <v>5</v>
      </c>
      <c r="M68" s="22">
        <v>5</v>
      </c>
      <c r="N68" s="22">
        <v>5</v>
      </c>
    </row>
    <row r="69" spans="1:14" ht="47.25" x14ac:dyDescent="0.25">
      <c r="A69" s="23" t="s">
        <v>217</v>
      </c>
      <c r="B69" s="93" t="s">
        <v>218</v>
      </c>
      <c r="C69" s="68" t="s">
        <v>199</v>
      </c>
      <c r="D69" s="68">
        <v>0.01</v>
      </c>
      <c r="E69" s="102" t="s">
        <v>200</v>
      </c>
      <c r="F69" s="70"/>
      <c r="G69" s="22">
        <v>5</v>
      </c>
      <c r="H69" s="22">
        <v>5</v>
      </c>
      <c r="I69" s="22">
        <v>5</v>
      </c>
      <c r="J69" s="22">
        <v>5</v>
      </c>
      <c r="K69" s="22">
        <v>5</v>
      </c>
      <c r="L69" s="22">
        <v>5</v>
      </c>
      <c r="M69" s="22">
        <v>5</v>
      </c>
      <c r="N69" s="22">
        <v>5</v>
      </c>
    </row>
    <row r="70" spans="1:14" ht="47.25" x14ac:dyDescent="0.25">
      <c r="A70" s="23" t="s">
        <v>219</v>
      </c>
      <c r="B70" s="93" t="s">
        <v>220</v>
      </c>
      <c r="C70" s="68" t="s">
        <v>199</v>
      </c>
      <c r="D70" s="68">
        <v>0.01</v>
      </c>
      <c r="E70" s="102" t="s">
        <v>200</v>
      </c>
      <c r="F70" s="70"/>
      <c r="G70" s="22">
        <v>5</v>
      </c>
      <c r="H70" s="22">
        <v>5</v>
      </c>
      <c r="I70" s="22">
        <v>5</v>
      </c>
      <c r="J70" s="22">
        <v>5</v>
      </c>
      <c r="K70" s="22">
        <v>5</v>
      </c>
      <c r="L70" s="22">
        <v>5</v>
      </c>
      <c r="M70" s="22">
        <v>5</v>
      </c>
      <c r="N70" s="22">
        <v>5</v>
      </c>
    </row>
    <row r="71" spans="1:14" s="55" customFormat="1" x14ac:dyDescent="0.25">
      <c r="A71" s="345" t="s">
        <v>221</v>
      </c>
      <c r="B71" s="345"/>
      <c r="C71" s="345"/>
      <c r="D71" s="345"/>
      <c r="E71" s="345"/>
      <c r="F71" s="345"/>
      <c r="G71" s="345"/>
      <c r="H71" s="345"/>
      <c r="I71" s="345"/>
      <c r="J71" s="345"/>
      <c r="K71" s="345"/>
      <c r="L71" s="345"/>
      <c r="M71" s="345"/>
      <c r="N71" s="345"/>
    </row>
    <row r="72" spans="1:14" s="106" customFormat="1" ht="47.25" x14ac:dyDescent="0.25">
      <c r="A72" s="104" t="s">
        <v>222</v>
      </c>
      <c r="B72" s="105" t="s">
        <v>223</v>
      </c>
      <c r="C72" s="24" t="s">
        <v>96</v>
      </c>
      <c r="D72" s="68">
        <v>0.03</v>
      </c>
      <c r="E72" s="68" t="s">
        <v>101</v>
      </c>
      <c r="F72" s="104"/>
      <c r="G72" s="6">
        <v>70</v>
      </c>
      <c r="H72" s="6">
        <v>70</v>
      </c>
      <c r="I72" s="6">
        <v>71</v>
      </c>
      <c r="J72" s="6">
        <v>71</v>
      </c>
      <c r="K72" s="6">
        <v>71</v>
      </c>
      <c r="L72" s="68">
        <v>71</v>
      </c>
      <c r="M72" s="68">
        <v>71</v>
      </c>
      <c r="N72" s="68">
        <v>71</v>
      </c>
    </row>
    <row r="73" spans="1:14" s="106" customFormat="1" x14ac:dyDescent="0.25">
      <c r="A73" s="342" t="s">
        <v>224</v>
      </c>
      <c r="B73" s="343" t="s">
        <v>225</v>
      </c>
      <c r="C73" s="344" t="s">
        <v>226</v>
      </c>
      <c r="D73" s="339">
        <v>0.03</v>
      </c>
      <c r="E73" s="339" t="s">
        <v>101</v>
      </c>
      <c r="F73" s="104"/>
      <c r="G73" s="339" t="s">
        <v>227</v>
      </c>
      <c r="H73" s="339" t="s">
        <v>228</v>
      </c>
      <c r="I73" s="339" t="s">
        <v>229</v>
      </c>
      <c r="J73" s="339" t="s">
        <v>230</v>
      </c>
      <c r="K73" s="339" t="s">
        <v>231</v>
      </c>
      <c r="L73" s="339" t="s">
        <v>232</v>
      </c>
      <c r="M73" s="339" t="s">
        <v>233</v>
      </c>
      <c r="N73" s="339" t="s">
        <v>233</v>
      </c>
    </row>
    <row r="74" spans="1:14" s="55" customFormat="1" x14ac:dyDescent="0.25">
      <c r="A74" s="342"/>
      <c r="B74" s="343"/>
      <c r="C74" s="344"/>
      <c r="D74" s="339"/>
      <c r="E74" s="339"/>
      <c r="F74" s="104"/>
      <c r="G74" s="339"/>
      <c r="H74" s="339"/>
      <c r="I74" s="339"/>
      <c r="J74" s="339"/>
      <c r="K74" s="339"/>
      <c r="L74" s="339"/>
      <c r="M74" s="339"/>
      <c r="N74" s="339"/>
    </row>
    <row r="76" spans="1:14" x14ac:dyDescent="0.25">
      <c r="A76" s="340" t="s">
        <v>33</v>
      </c>
      <c r="B76" s="340"/>
      <c r="C76" s="340"/>
      <c r="D76" s="340"/>
      <c r="E76" s="340"/>
      <c r="F76" s="340"/>
      <c r="G76" s="340"/>
      <c r="H76" s="340"/>
      <c r="I76" s="340"/>
      <c r="J76" s="341" t="s">
        <v>34</v>
      </c>
      <c r="K76" s="341"/>
      <c r="L76" s="341"/>
      <c r="M76" s="341"/>
      <c r="N76" s="107"/>
    </row>
  </sheetData>
  <mergeCells count="49">
    <mergeCell ref="G1:M1"/>
    <mergeCell ref="A2:M2"/>
    <mergeCell ref="A3:A5"/>
    <mergeCell ref="B3:B5"/>
    <mergeCell ref="C3:C5"/>
    <mergeCell ref="D3:D5"/>
    <mergeCell ref="E3:E5"/>
    <mergeCell ref="F3:F5"/>
    <mergeCell ref="G3:G5"/>
    <mergeCell ref="H3:H5"/>
    <mergeCell ref="A19:N19"/>
    <mergeCell ref="I3:I5"/>
    <mergeCell ref="J3:J5"/>
    <mergeCell ref="K3:K5"/>
    <mergeCell ref="L3:L5"/>
    <mergeCell ref="M3:M5"/>
    <mergeCell ref="N3:N5"/>
    <mergeCell ref="A6:N6"/>
    <mergeCell ref="A11:N11"/>
    <mergeCell ref="A12:N12"/>
    <mergeCell ref="A13:N13"/>
    <mergeCell ref="A18:N18"/>
    <mergeCell ref="A71:N71"/>
    <mergeCell ref="A20:N20"/>
    <mergeCell ref="A26:N26"/>
    <mergeCell ref="A37:N37"/>
    <mergeCell ref="A41:N41"/>
    <mergeCell ref="A43:N43"/>
    <mergeCell ref="A44:N44"/>
    <mergeCell ref="A45:N45"/>
    <mergeCell ref="A47:N47"/>
    <mergeCell ref="A50:N50"/>
    <mergeCell ref="A51:N51"/>
    <mergeCell ref="A52:N52"/>
    <mergeCell ref="N73:N74"/>
    <mergeCell ref="A76:I76"/>
    <mergeCell ref="J76:M76"/>
    <mergeCell ref="H73:H74"/>
    <mergeCell ref="I73:I74"/>
    <mergeCell ref="J73:J74"/>
    <mergeCell ref="K73:K74"/>
    <mergeCell ref="L73:L74"/>
    <mergeCell ref="M73:M74"/>
    <mergeCell ref="A73:A74"/>
    <mergeCell ref="B73:B74"/>
    <mergeCell ref="C73:C74"/>
    <mergeCell ref="D73:D74"/>
    <mergeCell ref="E73:E74"/>
    <mergeCell ref="G73:G74"/>
  </mergeCells>
  <pageMargins left="0.31496062992125984" right="0.11811023622047245" top="0.55118110236220474" bottom="0.19685039370078741" header="0.31496062992125984" footer="0.31496062992125984"/>
  <pageSetup paperSize="9" scale="65" fitToHeight="99" orientation="landscape" r:id="rId1"/>
  <headerFooter differentFirst="1">
    <oddHeader>&amp;C&amp;P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view="pageBreakPreview" topLeftCell="C1" zoomScaleNormal="100" zoomScaleSheetLayoutView="100" workbookViewId="0">
      <selection activeCell="L2" sqref="L2"/>
    </sheetView>
  </sheetViews>
  <sheetFormatPr defaultRowHeight="15.75" x14ac:dyDescent="0.25"/>
  <cols>
    <col min="1" max="1" width="7.42578125" style="35" customWidth="1"/>
    <col min="2" max="2" width="79.140625" style="35" customWidth="1"/>
    <col min="3" max="3" width="12" style="35" customWidth="1"/>
    <col min="4" max="4" width="16.28515625" style="35" customWidth="1"/>
    <col min="5" max="5" width="9.140625" style="35" hidden="1" customWidth="1"/>
    <col min="6" max="8" width="11.42578125" style="35" customWidth="1"/>
    <col min="9" max="11" width="11.42578125" style="250" customWidth="1"/>
    <col min="12" max="12" width="11.42578125" style="251" customWidth="1"/>
    <col min="13" max="13" width="11.42578125" style="35" customWidth="1"/>
    <col min="14" max="16384" width="9.140625" style="35"/>
  </cols>
  <sheetData>
    <row r="1" spans="1:14" ht="50.25" customHeight="1" x14ac:dyDescent="0.25">
      <c r="A1" s="63"/>
      <c r="B1" s="64"/>
      <c r="C1" s="65"/>
      <c r="D1" s="64"/>
      <c r="F1" s="447" t="s">
        <v>454</v>
      </c>
      <c r="G1" s="447"/>
      <c r="H1" s="447"/>
      <c r="I1" s="447"/>
      <c r="J1" s="447"/>
      <c r="K1" s="447"/>
      <c r="L1" s="447"/>
    </row>
    <row r="2" spans="1:14" ht="26.25" customHeight="1" x14ac:dyDescent="0.25">
      <c r="A2" s="365" t="s">
        <v>245</v>
      </c>
      <c r="B2" s="365"/>
      <c r="C2" s="365"/>
      <c r="D2" s="365"/>
      <c r="E2" s="365"/>
      <c r="F2" s="365"/>
      <c r="G2" s="365"/>
      <c r="H2" s="365"/>
      <c r="I2" s="365"/>
      <c r="J2" s="246"/>
      <c r="K2" s="246"/>
      <c r="L2" s="246"/>
    </row>
    <row r="3" spans="1:14" ht="53.25" customHeight="1" x14ac:dyDescent="0.25">
      <c r="A3" s="348" t="s">
        <v>88</v>
      </c>
      <c r="B3" s="339" t="s">
        <v>246</v>
      </c>
      <c r="C3" s="339" t="s">
        <v>90</v>
      </c>
      <c r="D3" s="339" t="s">
        <v>92</v>
      </c>
      <c r="E3" s="305" t="s">
        <v>93</v>
      </c>
      <c r="F3" s="305" t="s">
        <v>41</v>
      </c>
      <c r="G3" s="305" t="s">
        <v>42</v>
      </c>
      <c r="H3" s="305" t="s">
        <v>43</v>
      </c>
      <c r="I3" s="305" t="s">
        <v>44</v>
      </c>
      <c r="J3" s="305" t="s">
        <v>45</v>
      </c>
      <c r="K3" s="305" t="s">
        <v>46</v>
      </c>
      <c r="L3" s="305" t="s">
        <v>47</v>
      </c>
      <c r="M3" s="305" t="s">
        <v>48</v>
      </c>
      <c r="N3" s="305" t="s">
        <v>49</v>
      </c>
    </row>
    <row r="4" spans="1:14" s="84" customFormat="1" ht="22.5" customHeight="1" x14ac:dyDescent="0.2">
      <c r="A4" s="348"/>
      <c r="B4" s="339"/>
      <c r="C4" s="339"/>
      <c r="D4" s="339"/>
      <c r="E4" s="305"/>
      <c r="F4" s="305"/>
      <c r="G4" s="305"/>
      <c r="H4" s="305"/>
      <c r="I4" s="305"/>
      <c r="J4" s="305"/>
      <c r="K4" s="305"/>
      <c r="L4" s="305"/>
      <c r="M4" s="305"/>
      <c r="N4" s="305"/>
    </row>
    <row r="5" spans="1:14" ht="21.75" hidden="1" customHeight="1" x14ac:dyDescent="0.25">
      <c r="A5" s="348"/>
      <c r="B5" s="339"/>
      <c r="C5" s="339"/>
      <c r="D5" s="339"/>
      <c r="E5" s="305"/>
      <c r="F5" s="305"/>
      <c r="G5" s="305"/>
      <c r="H5" s="305"/>
      <c r="I5" s="305"/>
      <c r="J5" s="305"/>
      <c r="K5" s="305"/>
      <c r="L5" s="305"/>
      <c r="M5" s="305"/>
      <c r="N5" s="305"/>
    </row>
    <row r="6" spans="1:14" ht="36" customHeight="1" x14ac:dyDescent="0.25">
      <c r="A6" s="363" t="s">
        <v>455</v>
      </c>
      <c r="B6" s="364"/>
      <c r="C6" s="364"/>
      <c r="D6" s="364"/>
      <c r="E6" s="364"/>
      <c r="F6" s="364"/>
      <c r="G6" s="364"/>
      <c r="H6" s="364"/>
      <c r="I6" s="364"/>
      <c r="J6" s="364"/>
      <c r="K6" s="364"/>
      <c r="L6" s="364"/>
      <c r="M6" s="364"/>
      <c r="N6" s="364"/>
    </row>
    <row r="7" spans="1:14" ht="30" customHeight="1" x14ac:dyDescent="0.25">
      <c r="A7" s="420" t="s">
        <v>456</v>
      </c>
      <c r="B7" s="421"/>
      <c r="C7" s="421"/>
      <c r="D7" s="421"/>
      <c r="E7" s="421"/>
      <c r="F7" s="421"/>
      <c r="G7" s="421"/>
      <c r="H7" s="421"/>
      <c r="I7" s="421"/>
      <c r="J7" s="421"/>
      <c r="K7" s="421"/>
      <c r="L7" s="421"/>
      <c r="M7" s="422"/>
    </row>
    <row r="8" spans="1:14" ht="31.5" x14ac:dyDescent="0.25">
      <c r="A8" s="247" t="s">
        <v>457</v>
      </c>
      <c r="B8" s="93" t="s">
        <v>458</v>
      </c>
      <c r="C8" s="102" t="s">
        <v>96</v>
      </c>
      <c r="D8" s="68" t="s">
        <v>101</v>
      </c>
      <c r="E8" s="70"/>
      <c r="F8" s="69">
        <v>82.9</v>
      </c>
      <c r="G8" s="69">
        <v>82.9</v>
      </c>
      <c r="H8" s="69">
        <v>93.2</v>
      </c>
      <c r="I8" s="69">
        <v>93.7</v>
      </c>
      <c r="J8" s="69">
        <v>94</v>
      </c>
      <c r="K8" s="69">
        <v>94</v>
      </c>
      <c r="L8" s="69">
        <v>94</v>
      </c>
      <c r="M8" s="69">
        <v>94</v>
      </c>
      <c r="N8" s="69">
        <v>94</v>
      </c>
    </row>
    <row r="9" spans="1:14" ht="33.75" customHeight="1" x14ac:dyDescent="0.25">
      <c r="A9" s="420" t="s">
        <v>459</v>
      </c>
      <c r="B9" s="421"/>
      <c r="C9" s="421"/>
      <c r="D9" s="421"/>
      <c r="E9" s="421"/>
      <c r="F9" s="421"/>
      <c r="G9" s="421"/>
      <c r="H9" s="421"/>
      <c r="I9" s="421"/>
      <c r="J9" s="421"/>
      <c r="K9" s="421"/>
      <c r="L9" s="421"/>
      <c r="M9" s="422"/>
    </row>
    <row r="10" spans="1:14" ht="31.5" x14ac:dyDescent="0.25">
      <c r="A10" s="248" t="s">
        <v>460</v>
      </c>
      <c r="B10" s="93" t="s">
        <v>461</v>
      </c>
      <c r="C10" s="102" t="s">
        <v>96</v>
      </c>
      <c r="D10" s="68" t="s">
        <v>101</v>
      </c>
      <c r="E10" s="70"/>
      <c r="F10" s="69">
        <v>73</v>
      </c>
      <c r="G10" s="69">
        <v>74</v>
      </c>
      <c r="H10" s="69">
        <v>89</v>
      </c>
      <c r="I10" s="69">
        <v>90</v>
      </c>
      <c r="J10" s="69">
        <v>92</v>
      </c>
      <c r="K10" s="69">
        <v>95</v>
      </c>
      <c r="L10" s="69">
        <v>95</v>
      </c>
      <c r="M10" s="69">
        <v>95</v>
      </c>
      <c r="N10" s="69">
        <v>95</v>
      </c>
    </row>
    <row r="11" spans="1:14" ht="47.25" x14ac:dyDescent="0.25">
      <c r="A11" s="248" t="s">
        <v>462</v>
      </c>
      <c r="B11" s="93" t="s">
        <v>176</v>
      </c>
      <c r="C11" s="249" t="s">
        <v>96</v>
      </c>
      <c r="D11" s="68" t="s">
        <v>101</v>
      </c>
      <c r="E11" s="68">
        <v>15.6</v>
      </c>
      <c r="F11" s="69">
        <v>70</v>
      </c>
      <c r="G11" s="69">
        <v>70</v>
      </c>
      <c r="H11" s="69">
        <v>95</v>
      </c>
      <c r="I11" s="69">
        <v>97</v>
      </c>
      <c r="J11" s="69">
        <v>97</v>
      </c>
      <c r="K11" s="69">
        <v>98</v>
      </c>
      <c r="L11" s="69">
        <v>98</v>
      </c>
      <c r="M11" s="69">
        <v>98</v>
      </c>
      <c r="N11" s="69">
        <v>98</v>
      </c>
    </row>
    <row r="12" spans="1:14" x14ac:dyDescent="0.25">
      <c r="A12" s="108"/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</row>
    <row r="13" spans="1:14" x14ac:dyDescent="0.25">
      <c r="A13" s="135" t="s">
        <v>33</v>
      </c>
      <c r="B13" s="135"/>
      <c r="C13" s="135"/>
      <c r="I13" s="418" t="s">
        <v>34</v>
      </c>
      <c r="J13" s="418"/>
      <c r="K13" s="418"/>
      <c r="L13" s="418"/>
    </row>
  </sheetData>
  <mergeCells count="20">
    <mergeCell ref="F1:L1"/>
    <mergeCell ref="A2:I2"/>
    <mergeCell ref="A3:A5"/>
    <mergeCell ref="B3:B5"/>
    <mergeCell ref="C3:C5"/>
    <mergeCell ref="D3:D5"/>
    <mergeCell ref="E3:E5"/>
    <mergeCell ref="F3:F5"/>
    <mergeCell ref="G3:G5"/>
    <mergeCell ref="H3:H5"/>
    <mergeCell ref="A6:N6"/>
    <mergeCell ref="A7:M7"/>
    <mergeCell ref="A9:M9"/>
    <mergeCell ref="I13:L13"/>
    <mergeCell ref="I3:I5"/>
    <mergeCell ref="J3:J5"/>
    <mergeCell ref="K3:K5"/>
    <mergeCell ref="L3:L5"/>
    <mergeCell ref="M3:M5"/>
    <mergeCell ref="N3:N5"/>
  </mergeCells>
  <pageMargins left="0.51181102362204722" right="0.31496062992125984" top="0.55118110236220474" bottom="0.35433070866141736" header="0.31496062992125984" footer="0.31496062992125984"/>
  <pageSetup paperSize="9" scale="65" fitToHeight="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7"/>
  <sheetViews>
    <sheetView view="pageBreakPreview" zoomScale="98" zoomScaleNormal="98" zoomScaleSheetLayoutView="98" workbookViewId="0">
      <pane xSplit="3" ySplit="5" topLeftCell="N6" activePane="bottomRight" state="frozen"/>
      <selection activeCell="Q12" sqref="Q12"/>
      <selection pane="topRight" activeCell="Q12" sqref="Q12"/>
      <selection pane="bottomLeft" activeCell="Q12" sqref="Q12"/>
      <selection pane="bottomRight" activeCell="Q1" sqref="Q1:R1"/>
    </sheetView>
  </sheetViews>
  <sheetFormatPr defaultColWidth="9.28515625" defaultRowHeight="15.75" x14ac:dyDescent="0.25"/>
  <cols>
    <col min="1" max="1" width="6.5703125" style="171" customWidth="1"/>
    <col min="2" max="2" width="50.42578125" style="35" customWidth="1"/>
    <col min="3" max="3" width="21.7109375" style="172" customWidth="1"/>
    <col min="4" max="5" width="9.28515625" style="172" customWidth="1"/>
    <col min="6" max="6" width="14.85546875" style="172" customWidth="1"/>
    <col min="7" max="7" width="11.28515625" style="172" customWidth="1"/>
    <col min="8" max="8" width="12.7109375" style="172" customWidth="1"/>
    <col min="9" max="16" width="12.7109375" style="35" customWidth="1"/>
    <col min="17" max="17" width="14.7109375" style="35" customWidth="1"/>
    <col min="18" max="18" width="40.140625" style="35" customWidth="1"/>
    <col min="19" max="19" width="12" style="35" customWidth="1"/>
    <col min="20" max="16384" width="9.28515625" style="35"/>
  </cols>
  <sheetData>
    <row r="1" spans="1:19" s="115" customFormat="1" ht="75" customHeight="1" x14ac:dyDescent="0.25">
      <c r="A1" s="138"/>
      <c r="B1" s="139"/>
      <c r="C1" s="140"/>
      <c r="D1" s="140"/>
      <c r="E1" s="140"/>
      <c r="F1" s="140"/>
      <c r="G1" s="140"/>
      <c r="H1" s="140"/>
      <c r="I1" s="473"/>
      <c r="J1" s="473"/>
      <c r="Q1" s="447" t="s">
        <v>463</v>
      </c>
      <c r="R1" s="447"/>
      <c r="S1" s="252"/>
    </row>
    <row r="2" spans="1:19" s="115" customFormat="1" ht="23.25" customHeight="1" x14ac:dyDescent="0.25">
      <c r="A2" s="417" t="s">
        <v>257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s="417"/>
    </row>
    <row r="3" spans="1:19" s="115" customFormat="1" ht="24.75" customHeight="1" x14ac:dyDescent="0.25">
      <c r="A3" s="305" t="s">
        <v>88</v>
      </c>
      <c r="B3" s="305" t="s">
        <v>258</v>
      </c>
      <c r="C3" s="305" t="s">
        <v>7</v>
      </c>
      <c r="D3" s="474" t="s">
        <v>5</v>
      </c>
      <c r="E3" s="475"/>
      <c r="F3" s="475"/>
      <c r="G3" s="476"/>
      <c r="H3" s="253"/>
      <c r="I3" s="305" t="s">
        <v>6</v>
      </c>
      <c r="J3" s="305"/>
      <c r="K3" s="305"/>
      <c r="L3" s="305"/>
      <c r="M3" s="305"/>
      <c r="N3" s="305"/>
      <c r="O3" s="305"/>
      <c r="P3" s="305"/>
      <c r="Q3" s="305"/>
      <c r="R3" s="305" t="s">
        <v>259</v>
      </c>
    </row>
    <row r="4" spans="1:19" s="115" customFormat="1" ht="42" customHeight="1" x14ac:dyDescent="0.25">
      <c r="A4" s="305"/>
      <c r="B4" s="305"/>
      <c r="C4" s="305"/>
      <c r="D4" s="6" t="s">
        <v>7</v>
      </c>
      <c r="E4" s="6" t="s">
        <v>8</v>
      </c>
      <c r="F4" s="6" t="s">
        <v>9</v>
      </c>
      <c r="G4" s="6" t="s">
        <v>10</v>
      </c>
      <c r="H4" s="6">
        <v>2014</v>
      </c>
      <c r="I4" s="6">
        <v>2015</v>
      </c>
      <c r="J4" s="6">
        <v>2016</v>
      </c>
      <c r="K4" s="6">
        <v>2017</v>
      </c>
      <c r="L4" s="6">
        <v>2018</v>
      </c>
      <c r="M4" s="6">
        <v>2019</v>
      </c>
      <c r="N4" s="6">
        <v>2020</v>
      </c>
      <c r="O4" s="6">
        <v>2021</v>
      </c>
      <c r="P4" s="6">
        <v>2022</v>
      </c>
      <c r="Q4" s="6" t="s">
        <v>11</v>
      </c>
      <c r="R4" s="305"/>
    </row>
    <row r="5" spans="1:19" ht="26.25" customHeight="1" x14ac:dyDescent="0.25">
      <c r="A5" s="312" t="s">
        <v>455</v>
      </c>
      <c r="B5" s="312"/>
      <c r="C5" s="312"/>
      <c r="D5" s="312"/>
      <c r="E5" s="312"/>
      <c r="F5" s="312"/>
      <c r="G5" s="312"/>
      <c r="H5" s="312"/>
      <c r="I5" s="312"/>
      <c r="J5" s="312"/>
      <c r="K5" s="312"/>
      <c r="L5" s="312"/>
      <c r="M5" s="312"/>
      <c r="N5" s="312"/>
      <c r="O5" s="312"/>
      <c r="P5" s="312"/>
      <c r="Q5" s="312"/>
      <c r="R5" s="312"/>
    </row>
    <row r="6" spans="1:19" ht="28.5" hidden="1" customHeight="1" x14ac:dyDescent="0.25">
      <c r="A6" s="254"/>
      <c r="B6" s="21"/>
      <c r="C6" s="6"/>
      <c r="D6" s="142"/>
      <c r="E6" s="6"/>
      <c r="F6" s="142" t="s">
        <v>464</v>
      </c>
      <c r="G6" s="6">
        <v>530</v>
      </c>
      <c r="H6" s="6"/>
      <c r="I6" s="14"/>
      <c r="J6" s="14"/>
      <c r="K6" s="14"/>
      <c r="L6" s="14"/>
      <c r="M6" s="14"/>
      <c r="N6" s="14"/>
      <c r="O6" s="14"/>
      <c r="P6" s="14"/>
      <c r="Q6" s="14">
        <f>SUM(I6:K6)</f>
        <v>0</v>
      </c>
      <c r="R6" s="21"/>
    </row>
    <row r="7" spans="1:19" ht="21.75" customHeight="1" x14ac:dyDescent="0.25">
      <c r="A7" s="407" t="s">
        <v>465</v>
      </c>
      <c r="B7" s="407"/>
      <c r="C7" s="407"/>
      <c r="D7" s="407"/>
      <c r="E7" s="407"/>
      <c r="F7" s="407"/>
      <c r="G7" s="407"/>
      <c r="H7" s="407"/>
      <c r="I7" s="407"/>
      <c r="J7" s="407"/>
      <c r="K7" s="407"/>
      <c r="L7" s="407"/>
      <c r="M7" s="407"/>
      <c r="N7" s="407"/>
      <c r="O7" s="407"/>
      <c r="P7" s="407"/>
      <c r="Q7" s="407"/>
      <c r="R7" s="407"/>
    </row>
    <row r="8" spans="1:19" ht="48" hidden="1" customHeight="1" x14ac:dyDescent="0.25">
      <c r="A8" s="408" t="s">
        <v>466</v>
      </c>
      <c r="B8" s="470" t="s">
        <v>467</v>
      </c>
      <c r="C8" s="300" t="s">
        <v>17</v>
      </c>
      <c r="D8" s="6">
        <v>975</v>
      </c>
      <c r="E8" s="142" t="s">
        <v>315</v>
      </c>
      <c r="F8" s="142" t="s">
        <v>468</v>
      </c>
      <c r="G8" s="142" t="s">
        <v>266</v>
      </c>
      <c r="H8" s="142"/>
      <c r="I8" s="21"/>
      <c r="J8" s="6"/>
      <c r="K8" s="255"/>
      <c r="L8" s="255"/>
      <c r="M8" s="255"/>
      <c r="N8" s="255"/>
      <c r="O8" s="255"/>
      <c r="P8" s="255"/>
      <c r="Q8" s="14">
        <f>SUM(G8:N8)</f>
        <v>0</v>
      </c>
      <c r="R8" s="256" t="s">
        <v>469</v>
      </c>
    </row>
    <row r="9" spans="1:19" ht="56.25" customHeight="1" x14ac:dyDescent="0.25">
      <c r="A9" s="409"/>
      <c r="B9" s="471"/>
      <c r="C9" s="301"/>
      <c r="D9" s="257" t="s">
        <v>18</v>
      </c>
      <c r="E9" s="257" t="s">
        <v>315</v>
      </c>
      <c r="F9" s="142" t="s">
        <v>468</v>
      </c>
      <c r="G9" s="6">
        <v>622</v>
      </c>
      <c r="H9" s="14">
        <v>97.2</v>
      </c>
      <c r="I9" s="14"/>
      <c r="J9" s="258"/>
      <c r="L9" s="14"/>
      <c r="M9" s="14"/>
      <c r="N9" s="14"/>
      <c r="O9" s="14"/>
      <c r="P9" s="14">
        <f>O9</f>
        <v>0</v>
      </c>
      <c r="Q9" s="14">
        <f>SUM(H9:P9)</f>
        <v>97.2</v>
      </c>
      <c r="R9" s="382" t="s">
        <v>470</v>
      </c>
    </row>
    <row r="10" spans="1:19" ht="73.900000000000006" customHeight="1" x14ac:dyDescent="0.25">
      <c r="A10" s="410"/>
      <c r="B10" s="472"/>
      <c r="C10" s="319"/>
      <c r="D10" s="257" t="s">
        <v>18</v>
      </c>
      <c r="E10" s="257" t="s">
        <v>315</v>
      </c>
      <c r="F10" s="142" t="s">
        <v>471</v>
      </c>
      <c r="G10" s="6">
        <v>244</v>
      </c>
      <c r="H10" s="14"/>
      <c r="I10" s="14">
        <v>96</v>
      </c>
      <c r="J10" s="14">
        <v>87.9</v>
      </c>
      <c r="K10" s="14">
        <v>110.6</v>
      </c>
      <c r="L10" s="14">
        <v>175</v>
      </c>
      <c r="M10" s="14">
        <v>201.4</v>
      </c>
      <c r="N10" s="14">
        <v>201.4</v>
      </c>
      <c r="O10" s="14">
        <v>201.4</v>
      </c>
      <c r="P10" s="14">
        <f>O10</f>
        <v>201.4</v>
      </c>
      <c r="Q10" s="14">
        <f t="shared" ref="Q10:Q23" si="0">SUM(H10:P10)</f>
        <v>1275.1000000000001</v>
      </c>
      <c r="R10" s="383"/>
    </row>
    <row r="11" spans="1:19" ht="99" customHeight="1" x14ac:dyDescent="0.25">
      <c r="A11" s="142" t="s">
        <v>250</v>
      </c>
      <c r="B11" s="21" t="s">
        <v>472</v>
      </c>
      <c r="C11" s="6" t="s">
        <v>17</v>
      </c>
      <c r="D11" s="257" t="s">
        <v>18</v>
      </c>
      <c r="E11" s="257" t="s">
        <v>315</v>
      </c>
      <c r="F11" s="142" t="s">
        <v>468</v>
      </c>
      <c r="G11" s="6">
        <v>612</v>
      </c>
      <c r="H11" s="14">
        <v>214.3</v>
      </c>
      <c r="I11" s="14">
        <v>214.3</v>
      </c>
      <c r="J11" s="259"/>
      <c r="K11" s="260"/>
      <c r="L11" s="260"/>
      <c r="M11" s="260"/>
      <c r="N11" s="260"/>
      <c r="O11" s="260"/>
      <c r="P11" s="14">
        <f t="shared" ref="P11:P23" si="1">O11</f>
        <v>0</v>
      </c>
      <c r="Q11" s="14">
        <f t="shared" si="0"/>
        <v>428.6</v>
      </c>
      <c r="R11" s="221" t="s">
        <v>473</v>
      </c>
      <c r="S11" s="35">
        <v>2</v>
      </c>
    </row>
    <row r="12" spans="1:19" ht="54.75" customHeight="1" x14ac:dyDescent="0.25">
      <c r="A12" s="389" t="s">
        <v>251</v>
      </c>
      <c r="B12" s="467" t="s">
        <v>474</v>
      </c>
      <c r="C12" s="300" t="s">
        <v>17</v>
      </c>
      <c r="D12" s="261" t="s">
        <v>18</v>
      </c>
      <c r="E12" s="261" t="s">
        <v>315</v>
      </c>
      <c r="F12" s="261" t="s">
        <v>468</v>
      </c>
      <c r="G12" s="6">
        <v>622</v>
      </c>
      <c r="H12" s="14">
        <f>6.8</f>
        <v>6.8</v>
      </c>
      <c r="I12" s="14"/>
      <c r="J12" s="14"/>
      <c r="K12" s="14"/>
      <c r="L12" s="14"/>
      <c r="M12" s="14"/>
      <c r="N12" s="14"/>
      <c r="O12" s="14"/>
      <c r="P12" s="14">
        <f t="shared" si="1"/>
        <v>0</v>
      </c>
      <c r="Q12" s="14">
        <f t="shared" si="0"/>
        <v>6.8</v>
      </c>
      <c r="R12" s="382" t="s">
        <v>475</v>
      </c>
    </row>
    <row r="13" spans="1:19" ht="42.75" customHeight="1" x14ac:dyDescent="0.25">
      <c r="A13" s="390"/>
      <c r="B13" s="468"/>
      <c r="C13" s="319"/>
      <c r="D13" s="261" t="s">
        <v>18</v>
      </c>
      <c r="E13" s="261" t="s">
        <v>315</v>
      </c>
      <c r="F13" s="261" t="s">
        <v>468</v>
      </c>
      <c r="G13" s="262">
        <v>244</v>
      </c>
      <c r="H13" s="14"/>
      <c r="I13" s="14">
        <v>6.8</v>
      </c>
      <c r="J13" s="14"/>
      <c r="K13" s="14"/>
      <c r="L13" s="14"/>
      <c r="M13" s="14"/>
      <c r="N13" s="14"/>
      <c r="O13" s="14"/>
      <c r="P13" s="14">
        <f t="shared" si="1"/>
        <v>0</v>
      </c>
      <c r="Q13" s="14">
        <f t="shared" si="0"/>
        <v>6.8</v>
      </c>
      <c r="R13" s="383"/>
    </row>
    <row r="14" spans="1:19" ht="53.25" customHeight="1" x14ac:dyDescent="0.25">
      <c r="A14" s="408" t="s">
        <v>253</v>
      </c>
      <c r="B14" s="467" t="s">
        <v>476</v>
      </c>
      <c r="C14" s="300" t="s">
        <v>17</v>
      </c>
      <c r="D14" s="261" t="s">
        <v>18</v>
      </c>
      <c r="E14" s="261" t="s">
        <v>315</v>
      </c>
      <c r="F14" s="261" t="s">
        <v>477</v>
      </c>
      <c r="G14" s="262" t="s">
        <v>478</v>
      </c>
      <c r="H14" s="6">
        <v>1367.3</v>
      </c>
      <c r="I14" s="14">
        <v>1367.3</v>
      </c>
      <c r="J14" s="14">
        <v>1309.4000000000001</v>
      </c>
      <c r="K14" s="14">
        <f>1648.2</f>
        <v>1648.2</v>
      </c>
      <c r="L14" s="14">
        <v>1812.7</v>
      </c>
      <c r="M14" s="14"/>
      <c r="N14" s="14"/>
      <c r="O14" s="14"/>
      <c r="P14" s="14">
        <f t="shared" si="1"/>
        <v>0</v>
      </c>
      <c r="Q14" s="14">
        <f t="shared" si="0"/>
        <v>7504.9</v>
      </c>
      <c r="R14" s="382" t="s">
        <v>479</v>
      </c>
    </row>
    <row r="15" spans="1:19" ht="49.5" customHeight="1" x14ac:dyDescent="0.25">
      <c r="A15" s="409"/>
      <c r="B15" s="468"/>
      <c r="C15" s="301"/>
      <c r="D15" s="261" t="s">
        <v>18</v>
      </c>
      <c r="E15" s="261" t="s">
        <v>315</v>
      </c>
      <c r="F15" s="261" t="s">
        <v>480</v>
      </c>
      <c r="G15" s="262">
        <v>622</v>
      </c>
      <c r="H15" s="6">
        <v>344.4</v>
      </c>
      <c r="I15" s="14">
        <v>344.4</v>
      </c>
      <c r="J15" s="14">
        <v>338.1</v>
      </c>
      <c r="K15" s="263">
        <v>0</v>
      </c>
      <c r="L15" s="14"/>
      <c r="M15" s="14"/>
      <c r="N15" s="14"/>
      <c r="O15" s="14"/>
      <c r="P15" s="14">
        <f t="shared" si="1"/>
        <v>0</v>
      </c>
      <c r="Q15" s="14">
        <f t="shared" si="0"/>
        <v>1026.9000000000001</v>
      </c>
      <c r="R15" s="469"/>
    </row>
    <row r="16" spans="1:19" ht="46.5" customHeight="1" x14ac:dyDescent="0.25">
      <c r="A16" s="409"/>
      <c r="B16" s="467" t="s">
        <v>481</v>
      </c>
      <c r="C16" s="301"/>
      <c r="D16" s="261" t="s">
        <v>18</v>
      </c>
      <c r="E16" s="261" t="s">
        <v>315</v>
      </c>
      <c r="F16" s="261" t="s">
        <v>482</v>
      </c>
      <c r="G16" s="262" t="s">
        <v>483</v>
      </c>
      <c r="H16" s="6">
        <v>1.4</v>
      </c>
      <c r="I16" s="14">
        <v>286.10000000000002</v>
      </c>
      <c r="J16" s="14">
        <v>746.2</v>
      </c>
      <c r="K16" s="14">
        <v>358.1</v>
      </c>
      <c r="L16" s="14">
        <v>358.1</v>
      </c>
      <c r="M16" s="14">
        <v>401.7</v>
      </c>
      <c r="N16" s="14">
        <v>401.7</v>
      </c>
      <c r="O16" s="14">
        <v>401.7</v>
      </c>
      <c r="P16" s="14">
        <f t="shared" si="1"/>
        <v>401.7</v>
      </c>
      <c r="Q16" s="14">
        <f t="shared" si="0"/>
        <v>3356.6999999999994</v>
      </c>
      <c r="R16" s="469"/>
    </row>
    <row r="17" spans="1:19" ht="53.25" customHeight="1" x14ac:dyDescent="0.25">
      <c r="A17" s="409"/>
      <c r="B17" s="468"/>
      <c r="C17" s="301"/>
      <c r="D17" s="261" t="s">
        <v>18</v>
      </c>
      <c r="E17" s="261" t="s">
        <v>315</v>
      </c>
      <c r="F17" s="261" t="s">
        <v>484</v>
      </c>
      <c r="G17" s="262" t="s">
        <v>485</v>
      </c>
      <c r="H17" s="6">
        <v>0.4</v>
      </c>
      <c r="I17" s="14">
        <v>72.099999999999994</v>
      </c>
      <c r="J17" s="14">
        <v>73.5</v>
      </c>
      <c r="K17" s="14">
        <v>580.79999999999995</v>
      </c>
      <c r="L17" s="14">
        <v>516.5</v>
      </c>
      <c r="M17" s="14">
        <v>579.79999999999995</v>
      </c>
      <c r="N17" s="14">
        <v>579.79999999999995</v>
      </c>
      <c r="O17" s="14">
        <v>579.79999999999995</v>
      </c>
      <c r="P17" s="14">
        <f t="shared" si="1"/>
        <v>579.79999999999995</v>
      </c>
      <c r="Q17" s="14">
        <f t="shared" si="0"/>
        <v>3562.5</v>
      </c>
      <c r="R17" s="469"/>
    </row>
    <row r="18" spans="1:19" ht="62.25" customHeight="1" x14ac:dyDescent="0.25">
      <c r="A18" s="410"/>
      <c r="B18" s="264" t="s">
        <v>486</v>
      </c>
      <c r="C18" s="319"/>
      <c r="D18" s="261" t="s">
        <v>18</v>
      </c>
      <c r="E18" s="261" t="s">
        <v>315</v>
      </c>
      <c r="F18" s="261" t="s">
        <v>15</v>
      </c>
      <c r="G18" s="261" t="s">
        <v>15</v>
      </c>
      <c r="H18" s="14">
        <v>533</v>
      </c>
      <c r="I18" s="14">
        <v>705.2</v>
      </c>
      <c r="J18" s="14">
        <v>691.4</v>
      </c>
      <c r="K18" s="14">
        <v>691.4</v>
      </c>
      <c r="L18" s="14">
        <v>691.4</v>
      </c>
      <c r="M18" s="14">
        <f>579.8+201.4</f>
        <v>781.19999999999993</v>
      </c>
      <c r="N18" s="14">
        <f>579.8+201.4</f>
        <v>781.19999999999993</v>
      </c>
      <c r="O18" s="14">
        <f>579.8+201.4</f>
        <v>781.19999999999993</v>
      </c>
      <c r="P18" s="14">
        <f t="shared" si="1"/>
        <v>781.19999999999993</v>
      </c>
      <c r="Q18" s="14">
        <f t="shared" si="0"/>
        <v>6437.2</v>
      </c>
      <c r="R18" s="383"/>
    </row>
    <row r="19" spans="1:19" ht="95.45" customHeight="1" x14ac:dyDescent="0.25">
      <c r="A19" s="265"/>
      <c r="B19" s="264" t="s">
        <v>487</v>
      </c>
      <c r="C19" s="6" t="s">
        <v>17</v>
      </c>
      <c r="D19" s="261" t="s">
        <v>18</v>
      </c>
      <c r="E19" s="261" t="s">
        <v>315</v>
      </c>
      <c r="F19" s="261" t="s">
        <v>488</v>
      </c>
      <c r="G19" s="261" t="s">
        <v>489</v>
      </c>
      <c r="H19" s="14"/>
      <c r="I19" s="14"/>
      <c r="J19" s="14"/>
      <c r="K19" s="14"/>
      <c r="L19" s="14"/>
      <c r="M19" s="14"/>
      <c r="N19" s="14"/>
      <c r="O19" s="14"/>
      <c r="P19" s="14">
        <f t="shared" si="1"/>
        <v>0</v>
      </c>
      <c r="Q19" s="14">
        <f t="shared" si="0"/>
        <v>0</v>
      </c>
      <c r="R19" s="266"/>
    </row>
    <row r="20" spans="1:19" ht="129.75" customHeight="1" x14ac:dyDescent="0.25">
      <c r="A20" s="254" t="s">
        <v>330</v>
      </c>
      <c r="B20" s="267" t="s">
        <v>490</v>
      </c>
      <c r="C20" s="6" t="s">
        <v>17</v>
      </c>
      <c r="D20" s="142" t="s">
        <v>18</v>
      </c>
      <c r="E20" s="142" t="s">
        <v>315</v>
      </c>
      <c r="F20" s="142" t="s">
        <v>491</v>
      </c>
      <c r="G20" s="142" t="s">
        <v>492</v>
      </c>
      <c r="H20" s="14">
        <v>2887.9</v>
      </c>
      <c r="I20" s="14">
        <v>3076.7</v>
      </c>
      <c r="J20" s="14">
        <v>2913.1</v>
      </c>
      <c r="K20" s="14">
        <v>2917.5</v>
      </c>
      <c r="L20" s="14">
        <v>3303.7</v>
      </c>
      <c r="M20" s="14">
        <v>5436.9</v>
      </c>
      <c r="N20" s="14">
        <v>5436.9</v>
      </c>
      <c r="O20" s="14">
        <v>5436.9</v>
      </c>
      <c r="P20" s="14">
        <f t="shared" si="1"/>
        <v>5436.9</v>
      </c>
      <c r="Q20" s="14">
        <f t="shared" si="0"/>
        <v>36846.500000000007</v>
      </c>
      <c r="R20" s="268" t="s">
        <v>493</v>
      </c>
      <c r="S20" s="35">
        <v>4</v>
      </c>
    </row>
    <row r="21" spans="1:19" ht="140.25" customHeight="1" x14ac:dyDescent="0.25">
      <c r="A21" s="254" t="s">
        <v>494</v>
      </c>
      <c r="B21" s="267" t="s">
        <v>495</v>
      </c>
      <c r="C21" s="6" t="s">
        <v>17</v>
      </c>
      <c r="D21" s="142" t="s">
        <v>18</v>
      </c>
      <c r="E21" s="142" t="s">
        <v>315</v>
      </c>
      <c r="F21" s="142" t="s">
        <v>496</v>
      </c>
      <c r="G21" s="142" t="s">
        <v>294</v>
      </c>
      <c r="H21" s="14">
        <v>1476.3</v>
      </c>
      <c r="I21" s="14">
        <v>1534.3</v>
      </c>
      <c r="J21" s="14">
        <v>1254.8</v>
      </c>
      <c r="K21" s="14">
        <v>1265.7</v>
      </c>
      <c r="L21" s="14">
        <v>1123.4000000000001</v>
      </c>
      <c r="M21" s="14">
        <v>1171.3</v>
      </c>
      <c r="N21" s="14">
        <v>1171.3</v>
      </c>
      <c r="O21" s="14">
        <v>1171.3</v>
      </c>
      <c r="P21" s="14">
        <f t="shared" si="1"/>
        <v>1171.3</v>
      </c>
      <c r="Q21" s="14">
        <f t="shared" si="0"/>
        <v>11339.699999999999</v>
      </c>
      <c r="R21" s="268" t="s">
        <v>497</v>
      </c>
    </row>
    <row r="22" spans="1:19" ht="140.25" hidden="1" customHeight="1" x14ac:dyDescent="0.25">
      <c r="A22" s="254" t="s">
        <v>498</v>
      </c>
      <c r="B22" s="267" t="s">
        <v>499</v>
      </c>
      <c r="C22" s="6" t="s">
        <v>17</v>
      </c>
      <c r="D22" s="142"/>
      <c r="E22" s="142"/>
      <c r="F22" s="142"/>
      <c r="G22" s="142"/>
      <c r="H22" s="14"/>
      <c r="I22" s="14"/>
      <c r="J22" s="269"/>
      <c r="K22" s="14"/>
      <c r="L22" s="14"/>
      <c r="M22" s="14"/>
      <c r="N22" s="14"/>
      <c r="O22" s="14"/>
      <c r="P22" s="14">
        <f t="shared" si="1"/>
        <v>0</v>
      </c>
      <c r="Q22" s="14">
        <f t="shared" si="0"/>
        <v>0</v>
      </c>
      <c r="R22" s="154"/>
    </row>
    <row r="23" spans="1:19" ht="21" customHeight="1" x14ac:dyDescent="0.25">
      <c r="A23" s="436" t="s">
        <v>318</v>
      </c>
      <c r="B23" s="436"/>
      <c r="C23" s="270"/>
      <c r="D23" s="270"/>
      <c r="E23" s="270"/>
      <c r="F23" s="270"/>
      <c r="G23" s="270"/>
      <c r="H23" s="14">
        <f>SUM(H9:H22)</f>
        <v>6929.0000000000009</v>
      </c>
      <c r="I23" s="14">
        <f>SUM(I9:I22)</f>
        <v>7703.2</v>
      </c>
      <c r="J23" s="14">
        <f>SUM(J9:J22)</f>
        <v>7414.4000000000005</v>
      </c>
      <c r="K23" s="14">
        <f t="shared" ref="K23:O23" si="2">SUM(K8:K22)</f>
        <v>7572.3</v>
      </c>
      <c r="L23" s="14">
        <f t="shared" si="2"/>
        <v>7980.7999999999993</v>
      </c>
      <c r="M23" s="14">
        <f t="shared" si="2"/>
        <v>8572.2999999999993</v>
      </c>
      <c r="N23" s="14">
        <f t="shared" si="2"/>
        <v>8572.2999999999993</v>
      </c>
      <c r="O23" s="14">
        <f t="shared" si="2"/>
        <v>8572.2999999999993</v>
      </c>
      <c r="P23" s="14">
        <f t="shared" si="1"/>
        <v>8572.2999999999993</v>
      </c>
      <c r="Q23" s="14">
        <f t="shared" si="0"/>
        <v>71888.900000000009</v>
      </c>
      <c r="R23" s="25"/>
    </row>
    <row r="24" spans="1:19" s="237" customFormat="1" ht="30" customHeight="1" x14ac:dyDescent="0.2">
      <c r="A24" s="466" t="s">
        <v>459</v>
      </c>
      <c r="B24" s="466"/>
      <c r="C24" s="466"/>
      <c r="D24" s="466"/>
      <c r="E24" s="466"/>
      <c r="F24" s="466"/>
      <c r="G24" s="466"/>
      <c r="H24" s="466"/>
      <c r="I24" s="466"/>
      <c r="J24" s="466"/>
      <c r="K24" s="466"/>
      <c r="L24" s="466"/>
      <c r="M24" s="466"/>
      <c r="N24" s="466"/>
      <c r="O24" s="466"/>
      <c r="P24" s="466"/>
      <c r="Q24" s="466"/>
      <c r="R24" s="466"/>
    </row>
    <row r="25" spans="1:19" ht="35.1" customHeight="1" x14ac:dyDescent="0.25">
      <c r="A25" s="451" t="s">
        <v>332</v>
      </c>
      <c r="B25" s="455" t="s">
        <v>500</v>
      </c>
      <c r="C25" s="323" t="s">
        <v>17</v>
      </c>
      <c r="D25" s="147" t="s">
        <v>18</v>
      </c>
      <c r="E25" s="147" t="s">
        <v>315</v>
      </c>
      <c r="F25" s="147" t="s">
        <v>468</v>
      </c>
      <c r="G25" s="147" t="s">
        <v>296</v>
      </c>
      <c r="H25" s="13">
        <v>18.7</v>
      </c>
      <c r="I25" s="13"/>
      <c r="J25" s="13"/>
      <c r="K25" s="25"/>
      <c r="L25" s="25"/>
      <c r="M25" s="25"/>
      <c r="N25" s="25"/>
      <c r="O25" s="25"/>
      <c r="P25" s="25">
        <f>O25</f>
        <v>0</v>
      </c>
      <c r="Q25" s="271">
        <f>SUM(H25:P25)</f>
        <v>18.7</v>
      </c>
      <c r="R25" s="455" t="s">
        <v>501</v>
      </c>
    </row>
    <row r="26" spans="1:19" ht="35.1" customHeight="1" x14ac:dyDescent="0.25">
      <c r="A26" s="452"/>
      <c r="B26" s="456"/>
      <c r="C26" s="362"/>
      <c r="D26" s="147" t="s">
        <v>18</v>
      </c>
      <c r="E26" s="147" t="s">
        <v>315</v>
      </c>
      <c r="F26" s="147" t="s">
        <v>468</v>
      </c>
      <c r="G26" s="147" t="s">
        <v>266</v>
      </c>
      <c r="H26" s="13"/>
      <c r="I26" s="13">
        <v>18.7</v>
      </c>
      <c r="J26" s="13"/>
      <c r="K26" s="260"/>
      <c r="L26" s="260"/>
      <c r="M26" s="260"/>
      <c r="N26" s="260"/>
      <c r="O26" s="260"/>
      <c r="P26" s="25">
        <f t="shared" ref="P26:P38" si="3">O26</f>
        <v>0</v>
      </c>
      <c r="Q26" s="271">
        <f t="shared" ref="Q26:Q38" si="4">SUM(H26:P26)</f>
        <v>18.7</v>
      </c>
      <c r="R26" s="456"/>
    </row>
    <row r="27" spans="1:19" ht="35.1" customHeight="1" x14ac:dyDescent="0.25">
      <c r="A27" s="451" t="s">
        <v>333</v>
      </c>
      <c r="B27" s="453" t="s">
        <v>502</v>
      </c>
      <c r="C27" s="323" t="s">
        <v>17</v>
      </c>
      <c r="D27" s="147" t="s">
        <v>18</v>
      </c>
      <c r="E27" s="147" t="s">
        <v>315</v>
      </c>
      <c r="F27" s="147" t="s">
        <v>468</v>
      </c>
      <c r="G27" s="147" t="s">
        <v>296</v>
      </c>
      <c r="H27" s="271">
        <v>13.05</v>
      </c>
      <c r="I27" s="13"/>
      <c r="J27" s="13"/>
      <c r="K27" s="14"/>
      <c r="L27" s="14"/>
      <c r="M27" s="14"/>
      <c r="N27" s="14"/>
      <c r="O27" s="14"/>
      <c r="P27" s="25">
        <f t="shared" si="3"/>
        <v>0</v>
      </c>
      <c r="Q27" s="271">
        <f t="shared" si="4"/>
        <v>13.05</v>
      </c>
      <c r="R27" s="455" t="s">
        <v>503</v>
      </c>
    </row>
    <row r="28" spans="1:19" ht="35.1" customHeight="1" x14ac:dyDescent="0.25">
      <c r="A28" s="452"/>
      <c r="B28" s="454"/>
      <c r="C28" s="362"/>
      <c r="D28" s="147" t="s">
        <v>18</v>
      </c>
      <c r="E28" s="147" t="s">
        <v>315</v>
      </c>
      <c r="F28" s="152" t="s">
        <v>468</v>
      </c>
      <c r="G28" s="152" t="s">
        <v>266</v>
      </c>
      <c r="H28" s="271">
        <v>16.25</v>
      </c>
      <c r="I28" s="271">
        <v>29.3</v>
      </c>
      <c r="J28" s="271"/>
      <c r="K28" s="260"/>
      <c r="L28" s="260"/>
      <c r="M28" s="260"/>
      <c r="N28" s="260"/>
      <c r="O28" s="260"/>
      <c r="P28" s="25">
        <f t="shared" si="3"/>
        <v>0</v>
      </c>
      <c r="Q28" s="271">
        <f t="shared" si="4"/>
        <v>45.55</v>
      </c>
      <c r="R28" s="456"/>
    </row>
    <row r="29" spans="1:19" ht="35.1" customHeight="1" x14ac:dyDescent="0.25">
      <c r="A29" s="457" t="s">
        <v>334</v>
      </c>
      <c r="B29" s="460" t="s">
        <v>504</v>
      </c>
      <c r="C29" s="323" t="s">
        <v>17</v>
      </c>
      <c r="D29" s="147" t="s">
        <v>18</v>
      </c>
      <c r="E29" s="121" t="s">
        <v>315</v>
      </c>
      <c r="F29" s="152" t="s">
        <v>468</v>
      </c>
      <c r="G29" s="152" t="s">
        <v>296</v>
      </c>
      <c r="H29" s="24">
        <v>13.7</v>
      </c>
      <c r="I29" s="24"/>
      <c r="J29" s="24"/>
      <c r="K29" s="24"/>
      <c r="L29" s="24"/>
      <c r="M29" s="24"/>
      <c r="N29" s="24"/>
      <c r="O29" s="24"/>
      <c r="P29" s="25">
        <f t="shared" si="3"/>
        <v>0</v>
      </c>
      <c r="Q29" s="271">
        <f t="shared" si="4"/>
        <v>13.7</v>
      </c>
      <c r="R29" s="463"/>
    </row>
    <row r="30" spans="1:19" ht="35.1" customHeight="1" x14ac:dyDescent="0.25">
      <c r="A30" s="458"/>
      <c r="B30" s="461"/>
      <c r="C30" s="324"/>
      <c r="D30" s="147" t="s">
        <v>18</v>
      </c>
      <c r="E30" s="272" t="s">
        <v>315</v>
      </c>
      <c r="F30" s="152" t="s">
        <v>468</v>
      </c>
      <c r="G30" s="152" t="s">
        <v>266</v>
      </c>
      <c r="H30" s="24"/>
      <c r="I30" s="24">
        <v>13.7</v>
      </c>
      <c r="J30" s="24"/>
      <c r="K30" s="24"/>
      <c r="L30" s="24"/>
      <c r="M30" s="24"/>
      <c r="N30" s="24"/>
      <c r="O30" s="24"/>
      <c r="P30" s="25">
        <f t="shared" si="3"/>
        <v>0</v>
      </c>
      <c r="Q30" s="271">
        <f t="shared" si="4"/>
        <v>13.7</v>
      </c>
      <c r="R30" s="464"/>
    </row>
    <row r="31" spans="1:19" ht="35.1" customHeight="1" x14ac:dyDescent="0.25">
      <c r="A31" s="458"/>
      <c r="B31" s="461"/>
      <c r="C31" s="324"/>
      <c r="D31" s="147" t="s">
        <v>18</v>
      </c>
      <c r="E31" s="121" t="s">
        <v>315</v>
      </c>
      <c r="F31" s="152" t="s">
        <v>505</v>
      </c>
      <c r="G31" s="152" t="s">
        <v>506</v>
      </c>
      <c r="H31" s="24"/>
      <c r="I31" s="24"/>
      <c r="J31" s="24"/>
      <c r="K31" s="22">
        <v>83</v>
      </c>
      <c r="L31" s="22"/>
      <c r="M31" s="22"/>
      <c r="N31" s="22"/>
      <c r="O31" s="22"/>
      <c r="P31" s="25">
        <f t="shared" si="3"/>
        <v>0</v>
      </c>
      <c r="Q31" s="271">
        <f t="shared" si="4"/>
        <v>83</v>
      </c>
      <c r="R31" s="464"/>
    </row>
    <row r="32" spans="1:19" ht="35.1" customHeight="1" x14ac:dyDescent="0.25">
      <c r="A32" s="458"/>
      <c r="B32" s="461"/>
      <c r="C32" s="324"/>
      <c r="D32" s="147" t="s">
        <v>18</v>
      </c>
      <c r="E32" s="272" t="s">
        <v>315</v>
      </c>
      <c r="F32" s="152" t="s">
        <v>505</v>
      </c>
      <c r="G32" s="152" t="s">
        <v>266</v>
      </c>
      <c r="H32" s="24"/>
      <c r="I32" s="24"/>
      <c r="J32" s="24"/>
      <c r="K32" s="22">
        <v>371.8</v>
      </c>
      <c r="L32" s="22"/>
      <c r="M32" s="22"/>
      <c r="N32" s="22"/>
      <c r="O32" s="22"/>
      <c r="P32" s="25">
        <f t="shared" si="3"/>
        <v>0</v>
      </c>
      <c r="Q32" s="271">
        <f t="shared" si="4"/>
        <v>371.8</v>
      </c>
      <c r="R32" s="464"/>
    </row>
    <row r="33" spans="1:18" ht="35.1" customHeight="1" x14ac:dyDescent="0.25">
      <c r="A33" s="459"/>
      <c r="B33" s="462"/>
      <c r="C33" s="362"/>
      <c r="D33" s="147" t="s">
        <v>18</v>
      </c>
      <c r="E33" s="121" t="s">
        <v>315</v>
      </c>
      <c r="F33" s="152" t="s">
        <v>507</v>
      </c>
      <c r="G33" s="152" t="s">
        <v>268</v>
      </c>
      <c r="H33" s="24"/>
      <c r="I33" s="24"/>
      <c r="J33" s="24"/>
      <c r="K33" s="22">
        <v>31.2</v>
      </c>
      <c r="L33" s="22"/>
      <c r="M33" s="22"/>
      <c r="N33" s="22"/>
      <c r="O33" s="22"/>
      <c r="P33" s="25">
        <f t="shared" si="3"/>
        <v>0</v>
      </c>
      <c r="Q33" s="271">
        <f t="shared" si="4"/>
        <v>31.2</v>
      </c>
      <c r="R33" s="465"/>
    </row>
    <row r="34" spans="1:18" s="84" customFormat="1" ht="35.1" customHeight="1" x14ac:dyDescent="0.25">
      <c r="A34" s="449" t="s">
        <v>419</v>
      </c>
      <c r="B34" s="449"/>
      <c r="C34" s="273"/>
      <c r="D34" s="273"/>
      <c r="E34" s="273"/>
      <c r="F34" s="273"/>
      <c r="G34" s="273"/>
      <c r="H34" s="14">
        <f>H25+H26+H27+H28+H29+H30</f>
        <v>61.7</v>
      </c>
      <c r="I34" s="14">
        <f>I25+I26+I27+I28+I29+I30</f>
        <v>61.7</v>
      </c>
      <c r="J34" s="14">
        <f>J25+J26+J27+J28+J29+J30</f>
        <v>0</v>
      </c>
      <c r="K34" s="14">
        <f>SUM(K26:K33)</f>
        <v>486</v>
      </c>
      <c r="L34" s="14">
        <f>SUM(L26:L33)</f>
        <v>0</v>
      </c>
      <c r="M34" s="14">
        <f>SUM(M26:M33)</f>
        <v>0</v>
      </c>
      <c r="N34" s="14">
        <f>SUM(N26:N33)</f>
        <v>0</v>
      </c>
      <c r="O34" s="14"/>
      <c r="P34" s="25">
        <f t="shared" si="3"/>
        <v>0</v>
      </c>
      <c r="Q34" s="271">
        <f t="shared" si="4"/>
        <v>609.4</v>
      </c>
      <c r="R34" s="22"/>
    </row>
    <row r="35" spans="1:18" ht="35.1" customHeight="1" x14ac:dyDescent="0.25">
      <c r="A35" s="440" t="s">
        <v>319</v>
      </c>
      <c r="B35" s="440"/>
      <c r="C35" s="160"/>
      <c r="D35" s="160"/>
      <c r="E35" s="160"/>
      <c r="F35" s="160"/>
      <c r="G35" s="160"/>
      <c r="H35" s="14">
        <f t="shared" ref="H35:M35" si="5">H23+H34</f>
        <v>6990.7000000000007</v>
      </c>
      <c r="I35" s="14">
        <f t="shared" si="5"/>
        <v>7764.9</v>
      </c>
      <c r="J35" s="14">
        <f t="shared" si="5"/>
        <v>7414.4000000000005</v>
      </c>
      <c r="K35" s="14">
        <f>K23+K34</f>
        <v>8058.3</v>
      </c>
      <c r="L35" s="14">
        <f t="shared" si="5"/>
        <v>7980.7999999999993</v>
      </c>
      <c r="M35" s="14">
        <f t="shared" si="5"/>
        <v>8572.2999999999993</v>
      </c>
      <c r="N35" s="14">
        <f>N23+N34</f>
        <v>8572.2999999999993</v>
      </c>
      <c r="O35" s="14">
        <f>O23+O34</f>
        <v>8572.2999999999993</v>
      </c>
      <c r="P35" s="59">
        <f t="shared" si="3"/>
        <v>8572.2999999999993</v>
      </c>
      <c r="Q35" s="271">
        <f t="shared" si="4"/>
        <v>72498.3</v>
      </c>
      <c r="R35" s="25"/>
    </row>
    <row r="36" spans="1:18" ht="35.1" customHeight="1" x14ac:dyDescent="0.25">
      <c r="A36" s="376" t="s">
        <v>320</v>
      </c>
      <c r="B36" s="377"/>
      <c r="C36" s="160"/>
      <c r="D36" s="160"/>
      <c r="E36" s="160"/>
      <c r="F36" s="160"/>
      <c r="G36" s="160"/>
      <c r="H36" s="14">
        <f>H14+H15+H20</f>
        <v>4599.6000000000004</v>
      </c>
      <c r="I36" s="14">
        <f>I14+I15+I20</f>
        <v>4788.3999999999996</v>
      </c>
      <c r="J36" s="14">
        <f>J14+J15+J20</f>
        <v>4560.6000000000004</v>
      </c>
      <c r="K36" s="14">
        <f>K14+K15+K20</f>
        <v>4565.7</v>
      </c>
      <c r="L36" s="14">
        <f>L14+L15+L20+L19</f>
        <v>5116.3999999999996</v>
      </c>
      <c r="M36" s="14">
        <f>M14+M15+M20+M19</f>
        <v>5436.9</v>
      </c>
      <c r="N36" s="14">
        <f>N14+N15+N20+N19</f>
        <v>5436.9</v>
      </c>
      <c r="O36" s="14">
        <f>O14+O15+O20+O19</f>
        <v>5436.9</v>
      </c>
      <c r="P36" s="59">
        <f t="shared" si="3"/>
        <v>5436.9</v>
      </c>
      <c r="Q36" s="271">
        <f t="shared" si="4"/>
        <v>45378.3</v>
      </c>
      <c r="R36" s="25"/>
    </row>
    <row r="37" spans="1:18" ht="35.1" customHeight="1" x14ac:dyDescent="0.25">
      <c r="A37" s="376" t="s">
        <v>321</v>
      </c>
      <c r="B37" s="377"/>
      <c r="C37" s="160"/>
      <c r="D37" s="160"/>
      <c r="E37" s="160"/>
      <c r="F37" s="160"/>
      <c r="G37" s="160"/>
      <c r="H37" s="14">
        <f>H9+H10+H11+H12+H13+H16+H17+H21+H25+H26+H27+H28+H29+H30+H31+H32+H33</f>
        <v>1858.1</v>
      </c>
      <c r="I37" s="14">
        <f>I9+I10+I11+I12+I13+I16+I17+I21+I25+I26+I27+I28+I29+I30+I31+I32+I33</f>
        <v>2271.2999999999997</v>
      </c>
      <c r="J37" s="14">
        <f>J9+J10+J11+J12+J13+J16+J17+J21+J25+J26+J27+J28+J29+J30+J31+J32+J33</f>
        <v>2162.4</v>
      </c>
      <c r="K37" s="14">
        <f>K9+K10+K11+K12+K13+K16+K17+K21+K26+K27+K28+K29+K30+K31+K32+K33+K25</f>
        <v>2801.2</v>
      </c>
      <c r="L37" s="14">
        <f>L9+L10+L11+L12+L13+L16+L17+L21+L26+L27+L28+L29+L30+L31+L32+L33+L25</f>
        <v>2173</v>
      </c>
      <c r="M37" s="14">
        <f>M9+M10+M11+M12+M13+M16+M17+M21+M26+M27+M28+M29+M30+M31+M32+M33+M25</f>
        <v>2354.1999999999998</v>
      </c>
      <c r="N37" s="14">
        <f>N9+N10+N11+N12+N13+N16+N17+N21+N26+N27+N28+N29+N30+N31+N32+N33+N25</f>
        <v>2354.1999999999998</v>
      </c>
      <c r="O37" s="14">
        <f>O9+O10+O11+O12+O13+O16+O17+O21+O26+O27+O28+O29+O30+O31+O32+O33+O25</f>
        <v>2354.1999999999998</v>
      </c>
      <c r="P37" s="59">
        <f t="shared" si="3"/>
        <v>2354.1999999999998</v>
      </c>
      <c r="Q37" s="271">
        <f t="shared" si="4"/>
        <v>20682.800000000003</v>
      </c>
      <c r="R37" s="25"/>
    </row>
    <row r="38" spans="1:18" ht="35.1" customHeight="1" x14ac:dyDescent="0.25">
      <c r="A38" s="376" t="s">
        <v>322</v>
      </c>
      <c r="B38" s="377"/>
      <c r="C38" s="160"/>
      <c r="D38" s="160"/>
      <c r="E38" s="160"/>
      <c r="F38" s="160"/>
      <c r="G38" s="160"/>
      <c r="H38" s="14">
        <f t="shared" ref="H38:M38" si="6">H18</f>
        <v>533</v>
      </c>
      <c r="I38" s="14">
        <f t="shared" si="6"/>
        <v>705.2</v>
      </c>
      <c r="J38" s="14">
        <f t="shared" si="6"/>
        <v>691.4</v>
      </c>
      <c r="K38" s="14">
        <f t="shared" si="6"/>
        <v>691.4</v>
      </c>
      <c r="L38" s="14">
        <f t="shared" si="6"/>
        <v>691.4</v>
      </c>
      <c r="M38" s="14">
        <f t="shared" si="6"/>
        <v>781.19999999999993</v>
      </c>
      <c r="N38" s="14">
        <f>N18</f>
        <v>781.19999999999993</v>
      </c>
      <c r="O38" s="14">
        <f>O18</f>
        <v>781.19999999999993</v>
      </c>
      <c r="P38" s="59">
        <f t="shared" si="3"/>
        <v>781.19999999999993</v>
      </c>
      <c r="Q38" s="271">
        <f t="shared" si="4"/>
        <v>6437.2</v>
      </c>
      <c r="R38" s="25"/>
    </row>
    <row r="39" spans="1:18" s="277" customFormat="1" ht="35.1" customHeight="1" x14ac:dyDescent="0.25">
      <c r="A39" s="450"/>
      <c r="B39" s="450"/>
      <c r="C39" s="274"/>
      <c r="D39" s="274"/>
      <c r="E39" s="274"/>
      <c r="F39" s="274"/>
      <c r="G39" s="274"/>
      <c r="H39" s="274"/>
      <c r="I39" s="275"/>
      <c r="J39" s="275"/>
      <c r="K39" s="276"/>
      <c r="L39" s="276"/>
      <c r="M39" s="276"/>
      <c r="N39" s="276"/>
      <c r="O39" s="276"/>
      <c r="P39" s="276"/>
      <c r="Q39" s="276"/>
    </row>
    <row r="40" spans="1:18" ht="35.1" customHeight="1" x14ac:dyDescent="0.3">
      <c r="A40" s="448" t="s">
        <v>33</v>
      </c>
      <c r="B40" s="448"/>
      <c r="C40" s="448"/>
      <c r="D40" s="278"/>
      <c r="E40" s="278"/>
      <c r="F40" s="278"/>
      <c r="G40" s="278"/>
      <c r="H40" s="278"/>
      <c r="I40" s="279"/>
      <c r="J40" s="183"/>
      <c r="K40" s="183"/>
      <c r="L40" s="183"/>
      <c r="M40" s="183"/>
      <c r="N40" s="183"/>
      <c r="O40" s="183"/>
      <c r="P40" s="183"/>
      <c r="Q40" s="183"/>
      <c r="R40" s="280" t="s">
        <v>34</v>
      </c>
    </row>
    <row r="41" spans="1:18" x14ac:dyDescent="0.25">
      <c r="A41" s="168"/>
      <c r="B41" s="169"/>
      <c r="C41" s="170"/>
      <c r="D41" s="170"/>
      <c r="E41" s="170"/>
      <c r="F41" s="170"/>
      <c r="G41" s="170"/>
      <c r="H41" s="170"/>
    </row>
    <row r="42" spans="1:18" x14ac:dyDescent="0.25">
      <c r="A42" s="168"/>
      <c r="B42" s="169"/>
      <c r="C42" s="170"/>
      <c r="D42" s="170"/>
      <c r="E42" s="170"/>
      <c r="F42" s="170"/>
      <c r="G42" s="170"/>
      <c r="H42" s="170"/>
    </row>
    <row r="43" spans="1:18" x14ac:dyDescent="0.25">
      <c r="A43" s="168"/>
      <c r="B43" s="169"/>
      <c r="C43" s="170"/>
      <c r="D43" s="170"/>
      <c r="E43" s="170"/>
      <c r="F43" s="170"/>
      <c r="G43" s="170"/>
      <c r="H43" s="170"/>
    </row>
    <row r="44" spans="1:18" x14ac:dyDescent="0.25">
      <c r="A44" s="168"/>
      <c r="B44" s="169"/>
      <c r="C44" s="170"/>
      <c r="D44" s="170"/>
      <c r="E44" s="170"/>
      <c r="F44" s="170"/>
      <c r="G44" s="170"/>
      <c r="H44" s="170"/>
    </row>
    <row r="45" spans="1:18" x14ac:dyDescent="0.25">
      <c r="A45" s="168"/>
      <c r="B45" s="169"/>
      <c r="C45" s="170"/>
      <c r="D45" s="170"/>
      <c r="E45" s="170"/>
      <c r="F45" s="170"/>
      <c r="G45" s="170"/>
      <c r="H45" s="170"/>
    </row>
    <row r="46" spans="1:18" x14ac:dyDescent="0.25">
      <c r="A46" s="168"/>
      <c r="B46" s="169"/>
      <c r="C46" s="170"/>
      <c r="D46" s="170"/>
      <c r="E46" s="170"/>
      <c r="F46" s="170"/>
      <c r="G46" s="170"/>
      <c r="H46" s="170"/>
    </row>
    <row r="47" spans="1:18" x14ac:dyDescent="0.25">
      <c r="A47" s="168"/>
      <c r="B47" s="169"/>
      <c r="C47" s="170"/>
      <c r="D47" s="170"/>
      <c r="E47" s="170"/>
      <c r="F47" s="170"/>
      <c r="G47" s="170"/>
      <c r="H47" s="170"/>
    </row>
    <row r="48" spans="1:18" x14ac:dyDescent="0.25">
      <c r="A48" s="168"/>
      <c r="B48" s="169"/>
      <c r="C48" s="170"/>
      <c r="D48" s="170"/>
      <c r="E48" s="170"/>
      <c r="F48" s="170"/>
      <c r="G48" s="170"/>
      <c r="H48" s="170"/>
    </row>
    <row r="49" spans="1:8" x14ac:dyDescent="0.25">
      <c r="A49" s="168"/>
      <c r="B49" s="169"/>
      <c r="C49" s="170"/>
      <c r="D49" s="170"/>
      <c r="E49" s="170"/>
      <c r="F49" s="170"/>
      <c r="G49" s="170"/>
      <c r="H49" s="170"/>
    </row>
    <row r="50" spans="1:8" x14ac:dyDescent="0.25">
      <c r="A50" s="168"/>
      <c r="B50" s="169"/>
      <c r="C50" s="170"/>
      <c r="D50" s="170"/>
      <c r="E50" s="170"/>
      <c r="F50" s="170"/>
      <c r="G50" s="170"/>
      <c r="H50" s="170"/>
    </row>
    <row r="51" spans="1:8" x14ac:dyDescent="0.25">
      <c r="A51" s="168"/>
      <c r="B51" s="169"/>
      <c r="C51" s="170"/>
      <c r="D51" s="170"/>
      <c r="E51" s="170"/>
      <c r="F51" s="170"/>
      <c r="G51" s="170"/>
      <c r="H51" s="170"/>
    </row>
    <row r="52" spans="1:8" x14ac:dyDescent="0.25">
      <c r="A52" s="168"/>
      <c r="B52" s="169"/>
      <c r="C52" s="170"/>
      <c r="D52" s="170"/>
      <c r="E52" s="170"/>
      <c r="F52" s="170"/>
      <c r="G52" s="170"/>
      <c r="H52" s="170"/>
    </row>
    <row r="53" spans="1:8" x14ac:dyDescent="0.25">
      <c r="A53" s="168"/>
      <c r="B53" s="169"/>
      <c r="C53" s="170"/>
      <c r="D53" s="170"/>
      <c r="E53" s="170"/>
      <c r="F53" s="170"/>
      <c r="G53" s="170"/>
      <c r="H53" s="170"/>
    </row>
    <row r="54" spans="1:8" x14ac:dyDescent="0.25">
      <c r="A54" s="168"/>
      <c r="B54" s="169"/>
      <c r="C54" s="170"/>
      <c r="D54" s="170"/>
      <c r="E54" s="170"/>
      <c r="F54" s="170"/>
      <c r="G54" s="170"/>
      <c r="H54" s="170"/>
    </row>
    <row r="55" spans="1:8" x14ac:dyDescent="0.25">
      <c r="A55" s="168"/>
      <c r="B55" s="169"/>
      <c r="C55" s="170"/>
      <c r="D55" s="170"/>
      <c r="E55" s="170"/>
      <c r="F55" s="170"/>
      <c r="G55" s="170"/>
      <c r="H55" s="170"/>
    </row>
    <row r="56" spans="1:8" x14ac:dyDescent="0.25">
      <c r="A56" s="168"/>
      <c r="B56" s="169"/>
      <c r="C56" s="170"/>
      <c r="D56" s="170"/>
      <c r="E56" s="170"/>
      <c r="F56" s="170"/>
      <c r="G56" s="170"/>
      <c r="H56" s="170"/>
    </row>
    <row r="57" spans="1:8" x14ac:dyDescent="0.25">
      <c r="A57" s="168"/>
      <c r="B57" s="169"/>
      <c r="C57" s="170"/>
      <c r="D57" s="170"/>
      <c r="E57" s="170"/>
      <c r="F57" s="170"/>
      <c r="G57" s="170"/>
      <c r="H57" s="170"/>
    </row>
    <row r="58" spans="1:8" x14ac:dyDescent="0.25">
      <c r="A58" s="168"/>
      <c r="B58" s="169"/>
      <c r="C58" s="170"/>
      <c r="D58" s="170"/>
      <c r="E58" s="170"/>
      <c r="F58" s="170"/>
      <c r="G58" s="170"/>
      <c r="H58" s="170"/>
    </row>
    <row r="59" spans="1:8" x14ac:dyDescent="0.25">
      <c r="A59" s="168"/>
      <c r="B59" s="169"/>
      <c r="C59" s="170"/>
      <c r="D59" s="170"/>
      <c r="E59" s="170"/>
      <c r="F59" s="170"/>
      <c r="G59" s="170"/>
      <c r="H59" s="170"/>
    </row>
    <row r="60" spans="1:8" x14ac:dyDescent="0.25">
      <c r="A60" s="168"/>
      <c r="B60" s="169"/>
      <c r="C60" s="170"/>
      <c r="D60" s="170"/>
      <c r="E60" s="170"/>
      <c r="F60" s="170"/>
      <c r="G60" s="170"/>
      <c r="H60" s="170"/>
    </row>
    <row r="61" spans="1:8" x14ac:dyDescent="0.25">
      <c r="A61" s="168"/>
      <c r="B61" s="169"/>
      <c r="C61" s="170"/>
      <c r="D61" s="170"/>
      <c r="E61" s="170"/>
      <c r="F61" s="170"/>
      <c r="G61" s="170"/>
      <c r="H61" s="170"/>
    </row>
    <row r="62" spans="1:8" x14ac:dyDescent="0.25">
      <c r="A62" s="168"/>
      <c r="B62" s="169"/>
      <c r="C62" s="170"/>
      <c r="D62" s="170"/>
      <c r="E62" s="170"/>
      <c r="F62" s="170"/>
      <c r="G62" s="170"/>
      <c r="H62" s="170"/>
    </row>
    <row r="63" spans="1:8" x14ac:dyDescent="0.25">
      <c r="A63" s="168"/>
      <c r="B63" s="169"/>
      <c r="C63" s="170"/>
      <c r="D63" s="170"/>
      <c r="E63" s="170"/>
      <c r="F63" s="170"/>
      <c r="G63" s="170"/>
      <c r="H63" s="170"/>
    </row>
    <row r="64" spans="1:8" x14ac:dyDescent="0.25">
      <c r="A64" s="168"/>
      <c r="B64" s="169"/>
      <c r="C64" s="170"/>
      <c r="D64" s="170"/>
      <c r="E64" s="170"/>
      <c r="F64" s="170"/>
      <c r="G64" s="170"/>
      <c r="H64" s="170"/>
    </row>
    <row r="65" spans="1:8" x14ac:dyDescent="0.25">
      <c r="A65" s="168"/>
      <c r="B65" s="169"/>
      <c r="C65" s="170"/>
      <c r="D65" s="170"/>
      <c r="E65" s="170"/>
      <c r="F65" s="170"/>
      <c r="G65" s="170"/>
      <c r="H65" s="170"/>
    </row>
    <row r="66" spans="1:8" x14ac:dyDescent="0.25">
      <c r="A66" s="168"/>
      <c r="B66" s="169"/>
      <c r="C66" s="170"/>
      <c r="D66" s="170"/>
      <c r="E66" s="170"/>
      <c r="F66" s="170"/>
      <c r="G66" s="170"/>
      <c r="H66" s="170"/>
    </row>
    <row r="67" spans="1:8" x14ac:dyDescent="0.25">
      <c r="A67" s="168"/>
      <c r="B67" s="169"/>
      <c r="C67" s="170"/>
      <c r="D67" s="170"/>
      <c r="E67" s="170"/>
      <c r="F67" s="170"/>
      <c r="G67" s="170"/>
      <c r="H67" s="170"/>
    </row>
    <row r="68" spans="1:8" x14ac:dyDescent="0.25">
      <c r="A68" s="168"/>
      <c r="B68" s="169"/>
      <c r="C68" s="170"/>
      <c r="D68" s="170"/>
      <c r="E68" s="170"/>
      <c r="F68" s="170"/>
      <c r="G68" s="170"/>
      <c r="H68" s="170"/>
    </row>
    <row r="69" spans="1:8" x14ac:dyDescent="0.25">
      <c r="A69" s="168"/>
      <c r="B69" s="169"/>
      <c r="C69" s="170"/>
      <c r="D69" s="170"/>
      <c r="E69" s="170"/>
      <c r="F69" s="170"/>
      <c r="G69" s="170"/>
      <c r="H69" s="170"/>
    </row>
    <row r="70" spans="1:8" x14ac:dyDescent="0.25">
      <c r="A70" s="168"/>
      <c r="B70" s="169"/>
      <c r="C70" s="170"/>
      <c r="D70" s="170"/>
      <c r="E70" s="170"/>
      <c r="F70" s="170"/>
      <c r="G70" s="170"/>
      <c r="H70" s="170"/>
    </row>
    <row r="71" spans="1:8" x14ac:dyDescent="0.25">
      <c r="A71" s="168"/>
      <c r="B71" s="169"/>
      <c r="C71" s="170"/>
      <c r="D71" s="170"/>
      <c r="E71" s="170"/>
      <c r="F71" s="170"/>
      <c r="G71" s="170"/>
      <c r="H71" s="170"/>
    </row>
    <row r="72" spans="1:8" x14ac:dyDescent="0.25">
      <c r="A72" s="168"/>
      <c r="B72" s="169"/>
      <c r="C72" s="170"/>
      <c r="D72" s="170"/>
      <c r="E72" s="170"/>
      <c r="F72" s="170"/>
      <c r="G72" s="170"/>
      <c r="H72" s="170"/>
    </row>
    <row r="73" spans="1:8" x14ac:dyDescent="0.25">
      <c r="A73" s="168"/>
      <c r="B73" s="169"/>
      <c r="C73" s="170"/>
      <c r="D73" s="170"/>
      <c r="E73" s="170"/>
      <c r="F73" s="170"/>
      <c r="G73" s="170"/>
      <c r="H73" s="170"/>
    </row>
    <row r="74" spans="1:8" x14ac:dyDescent="0.25">
      <c r="A74" s="168"/>
      <c r="B74" s="169"/>
      <c r="C74" s="170"/>
      <c r="D74" s="170"/>
      <c r="E74" s="170"/>
      <c r="F74" s="170"/>
      <c r="G74" s="170"/>
      <c r="H74" s="170"/>
    </row>
    <row r="75" spans="1:8" x14ac:dyDescent="0.25">
      <c r="A75" s="168"/>
      <c r="B75" s="169"/>
      <c r="C75" s="170"/>
      <c r="D75" s="170"/>
      <c r="E75" s="170"/>
      <c r="F75" s="170"/>
      <c r="G75" s="170"/>
      <c r="H75" s="170"/>
    </row>
    <row r="76" spans="1:8" x14ac:dyDescent="0.25">
      <c r="A76" s="168"/>
      <c r="B76" s="169"/>
      <c r="C76" s="170"/>
      <c r="D76" s="170"/>
      <c r="E76" s="170"/>
      <c r="F76" s="170"/>
      <c r="G76" s="170"/>
      <c r="H76" s="170"/>
    </row>
    <row r="77" spans="1:8" x14ac:dyDescent="0.25">
      <c r="A77" s="168"/>
      <c r="B77" s="169"/>
      <c r="C77" s="170"/>
      <c r="D77" s="170"/>
      <c r="E77" s="170"/>
      <c r="F77" s="170"/>
      <c r="G77" s="170"/>
      <c r="H77" s="170"/>
    </row>
  </sheetData>
  <autoFilter ref="A4:S35"/>
  <mergeCells count="45">
    <mergeCell ref="I1:J1"/>
    <mergeCell ref="Q1:R1"/>
    <mergeCell ref="A2:R2"/>
    <mergeCell ref="A3:A4"/>
    <mergeCell ref="B3:B4"/>
    <mergeCell ref="C3:C4"/>
    <mergeCell ref="D3:G3"/>
    <mergeCell ref="I3:Q3"/>
    <mergeCell ref="R3:R4"/>
    <mergeCell ref="A5:R5"/>
    <mergeCell ref="A7:R7"/>
    <mergeCell ref="A8:A10"/>
    <mergeCell ref="B8:B10"/>
    <mergeCell ref="C8:C10"/>
    <mergeCell ref="R9:R10"/>
    <mergeCell ref="A12:A13"/>
    <mergeCell ref="B12:B13"/>
    <mergeCell ref="C12:C13"/>
    <mergeCell ref="R12:R13"/>
    <mergeCell ref="A14:A18"/>
    <mergeCell ref="B14:B15"/>
    <mergeCell ref="C14:C18"/>
    <mergeCell ref="R14:R18"/>
    <mergeCell ref="B16:B17"/>
    <mergeCell ref="A23:B23"/>
    <mergeCell ref="A24:R24"/>
    <mergeCell ref="A25:A26"/>
    <mergeCell ref="B25:B26"/>
    <mergeCell ref="C25:C26"/>
    <mergeCell ref="R25:R26"/>
    <mergeCell ref="A27:A28"/>
    <mergeCell ref="B27:B28"/>
    <mergeCell ref="C27:C28"/>
    <mergeCell ref="R27:R28"/>
    <mergeCell ref="A29:A33"/>
    <mergeCell ref="B29:B33"/>
    <mergeCell ref="C29:C33"/>
    <mergeCell ref="R29:R33"/>
    <mergeCell ref="A40:C40"/>
    <mergeCell ref="A34:B34"/>
    <mergeCell ref="A35:B35"/>
    <mergeCell ref="A36:B36"/>
    <mergeCell ref="A37:B37"/>
    <mergeCell ref="A38:B38"/>
    <mergeCell ref="A39:B39"/>
  </mergeCells>
  <pageMargins left="0.51181102362204722" right="0.39370078740157483" top="0.55118110236220474" bottom="0.35433070866141736" header="0.31496062992125984" footer="0.31496062992125984"/>
  <pageSetup paperSize="9" scale="47" fitToHeight="8" orientation="landscape" r:id="rId1"/>
  <headerFooter differentFirst="1">
    <oddHeader>&amp;C&amp;P</oddHeader>
  </headerFooter>
  <rowBreaks count="2" manualBreakCount="2">
    <brk id="8" max="11" man="1"/>
    <brk id="19" max="1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N37"/>
  <sheetViews>
    <sheetView view="pageBreakPreview" zoomScaleNormal="100" zoomScaleSheetLayoutView="100" workbookViewId="0">
      <pane xSplit="2" ySplit="6" topLeftCell="E28" activePane="bottomRight" state="frozen"/>
      <selection activeCell="E58" sqref="E58"/>
      <selection pane="topRight" activeCell="E58" sqref="E58"/>
      <selection pane="bottomLeft" activeCell="E58" sqref="E58"/>
      <selection pane="bottomRight" activeCell="B1" sqref="B1"/>
    </sheetView>
  </sheetViews>
  <sheetFormatPr defaultRowHeight="15.75" x14ac:dyDescent="0.25"/>
  <cols>
    <col min="1" max="1" width="7.5703125" style="108" customWidth="1"/>
    <col min="2" max="2" width="79.140625" style="35" customWidth="1"/>
    <col min="3" max="3" width="12" style="35" customWidth="1"/>
    <col min="4" max="4" width="24.42578125" style="35" customWidth="1"/>
    <col min="5" max="11" width="10.7109375" style="35" customWidth="1"/>
    <col min="12" max="12" width="10.7109375" style="66" customWidth="1"/>
    <col min="13" max="13" width="9.140625" style="173"/>
    <col min="14" max="16384" width="9.140625" style="35"/>
  </cols>
  <sheetData>
    <row r="1" spans="1:13" ht="50.25" customHeight="1" x14ac:dyDescent="0.25">
      <c r="A1" s="63"/>
      <c r="B1" s="64"/>
      <c r="C1" s="65"/>
      <c r="D1" s="64"/>
      <c r="E1" s="346" t="s">
        <v>509</v>
      </c>
      <c r="F1" s="346"/>
      <c r="G1" s="346"/>
      <c r="H1" s="346"/>
      <c r="I1" s="346"/>
      <c r="J1" s="346"/>
      <c r="K1" s="346"/>
    </row>
    <row r="2" spans="1:13" ht="37.5" customHeight="1" x14ac:dyDescent="0.25">
      <c r="A2" s="365" t="s">
        <v>245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</row>
    <row r="3" spans="1:13" ht="25.5" customHeight="1" x14ac:dyDescent="0.25">
      <c r="A3" s="348" t="s">
        <v>88</v>
      </c>
      <c r="B3" s="339" t="s">
        <v>246</v>
      </c>
      <c r="C3" s="339" t="s">
        <v>90</v>
      </c>
      <c r="D3" s="339" t="s">
        <v>92</v>
      </c>
      <c r="E3" s="305" t="s">
        <v>41</v>
      </c>
      <c r="F3" s="305" t="s">
        <v>42</v>
      </c>
      <c r="G3" s="305" t="s">
        <v>43</v>
      </c>
      <c r="H3" s="305" t="s">
        <v>44</v>
      </c>
      <c r="I3" s="305" t="s">
        <v>45</v>
      </c>
      <c r="J3" s="305" t="s">
        <v>46</v>
      </c>
      <c r="K3" s="305" t="s">
        <v>47</v>
      </c>
      <c r="L3" s="305" t="s">
        <v>48</v>
      </c>
      <c r="M3" s="305" t="s">
        <v>49</v>
      </c>
    </row>
    <row r="4" spans="1:13" ht="12" customHeight="1" x14ac:dyDescent="0.25">
      <c r="A4" s="348"/>
      <c r="B4" s="339"/>
      <c r="C4" s="339"/>
      <c r="D4" s="339"/>
      <c r="E4" s="305"/>
      <c r="F4" s="305"/>
      <c r="G4" s="305"/>
      <c r="H4" s="305"/>
      <c r="I4" s="305"/>
      <c r="J4" s="305"/>
      <c r="K4" s="305"/>
      <c r="L4" s="305"/>
      <c r="M4" s="305"/>
    </row>
    <row r="5" spans="1:13" ht="25.5" customHeight="1" x14ac:dyDescent="0.25">
      <c r="A5" s="348"/>
      <c r="B5" s="339"/>
      <c r="C5" s="339"/>
      <c r="D5" s="339"/>
      <c r="E5" s="305"/>
      <c r="F5" s="305"/>
      <c r="G5" s="305"/>
      <c r="H5" s="305"/>
      <c r="I5" s="305"/>
      <c r="J5" s="305"/>
      <c r="K5" s="305"/>
      <c r="L5" s="305"/>
      <c r="M5" s="305"/>
    </row>
    <row r="6" spans="1:13" ht="27" customHeight="1" x14ac:dyDescent="0.25">
      <c r="A6" s="419" t="s">
        <v>510</v>
      </c>
      <c r="B6" s="419"/>
      <c r="C6" s="419"/>
      <c r="D6" s="419"/>
      <c r="E6" s="419"/>
      <c r="F6" s="419"/>
      <c r="G6" s="419"/>
      <c r="H6" s="419"/>
      <c r="I6" s="419"/>
      <c r="J6" s="419"/>
      <c r="K6" s="419"/>
      <c r="L6" s="281"/>
    </row>
    <row r="7" spans="1:13" ht="33" customHeight="1" x14ac:dyDescent="0.25">
      <c r="A7" s="407" t="s">
        <v>511</v>
      </c>
      <c r="B7" s="407"/>
      <c r="C7" s="407"/>
      <c r="D7" s="407"/>
      <c r="E7" s="407"/>
      <c r="F7" s="407"/>
      <c r="G7" s="407"/>
      <c r="H7" s="407"/>
      <c r="I7" s="407"/>
      <c r="J7" s="407"/>
      <c r="K7" s="407"/>
      <c r="L7" s="281"/>
    </row>
    <row r="8" spans="1:13" ht="42" customHeight="1" x14ac:dyDescent="0.25">
      <c r="A8" s="68" t="s">
        <v>512</v>
      </c>
      <c r="B8" s="70" t="s">
        <v>181</v>
      </c>
      <c r="C8" s="68" t="s">
        <v>182</v>
      </c>
      <c r="D8" s="68" t="s">
        <v>21</v>
      </c>
      <c r="E8" s="6">
        <v>1460</v>
      </c>
      <c r="F8" s="282">
        <v>1470</v>
      </c>
      <c r="G8" s="68">
        <v>1470</v>
      </c>
      <c r="H8" s="68">
        <v>2863</v>
      </c>
      <c r="I8" s="68">
        <v>3174</v>
      </c>
      <c r="J8" s="68">
        <v>3205</v>
      </c>
      <c r="K8" s="68">
        <v>3205</v>
      </c>
      <c r="L8" s="68">
        <v>3205</v>
      </c>
      <c r="M8" s="68">
        <v>3205</v>
      </c>
    </row>
    <row r="9" spans="1:13" ht="31.5" x14ac:dyDescent="0.25">
      <c r="A9" s="68" t="s">
        <v>183</v>
      </c>
      <c r="B9" s="70" t="s">
        <v>184</v>
      </c>
      <c r="C9" s="68" t="s">
        <v>182</v>
      </c>
      <c r="D9" s="68" t="s">
        <v>21</v>
      </c>
      <c r="E9" s="6">
        <v>28870</v>
      </c>
      <c r="F9" s="282">
        <v>29600</v>
      </c>
      <c r="G9" s="68">
        <v>30690</v>
      </c>
      <c r="H9" s="68">
        <v>32180</v>
      </c>
      <c r="I9" s="68">
        <v>33390</v>
      </c>
      <c r="J9" s="68">
        <v>33390</v>
      </c>
      <c r="K9" s="68">
        <v>33390</v>
      </c>
      <c r="L9" s="68">
        <v>33390</v>
      </c>
      <c r="M9" s="68">
        <v>33390</v>
      </c>
    </row>
    <row r="10" spans="1:13" ht="63" x14ac:dyDescent="0.25">
      <c r="A10" s="68" t="s">
        <v>185</v>
      </c>
      <c r="B10" s="70" t="s">
        <v>186</v>
      </c>
      <c r="C10" s="68" t="s">
        <v>182</v>
      </c>
      <c r="D10" s="68" t="s">
        <v>21</v>
      </c>
      <c r="E10" s="6">
        <v>17972</v>
      </c>
      <c r="F10" s="282">
        <v>18638</v>
      </c>
      <c r="G10" s="68">
        <v>19328</v>
      </c>
      <c r="H10" s="68">
        <v>21911</v>
      </c>
      <c r="I10" s="68">
        <v>24405</v>
      </c>
      <c r="J10" s="68">
        <v>24405</v>
      </c>
      <c r="K10" s="68">
        <v>24405</v>
      </c>
      <c r="L10" s="68">
        <v>24405</v>
      </c>
      <c r="M10" s="68">
        <v>24405</v>
      </c>
    </row>
    <row r="11" spans="1:13" ht="31.5" x14ac:dyDescent="0.25">
      <c r="A11" s="68" t="s">
        <v>187</v>
      </c>
      <c r="B11" s="70" t="s">
        <v>188</v>
      </c>
      <c r="C11" s="68" t="s">
        <v>189</v>
      </c>
      <c r="D11" s="68" t="s">
        <v>101</v>
      </c>
      <c r="E11" s="6">
        <v>25.02</v>
      </c>
      <c r="F11" s="5">
        <v>25</v>
      </c>
      <c r="G11" s="68">
        <v>25</v>
      </c>
      <c r="H11" s="68">
        <v>23.9</v>
      </c>
      <c r="I11" s="68">
        <v>24</v>
      </c>
      <c r="J11" s="68">
        <v>24</v>
      </c>
      <c r="K11" s="68">
        <v>24</v>
      </c>
      <c r="L11" s="68">
        <v>24</v>
      </c>
      <c r="M11" s="68">
        <v>24</v>
      </c>
    </row>
    <row r="12" spans="1:13" ht="31.5" x14ac:dyDescent="0.25">
      <c r="A12" s="68" t="s">
        <v>190</v>
      </c>
      <c r="B12" s="70" t="s">
        <v>191</v>
      </c>
      <c r="C12" s="68" t="s">
        <v>189</v>
      </c>
      <c r="D12" s="68" t="s">
        <v>101</v>
      </c>
      <c r="E12" s="6">
        <v>18.82</v>
      </c>
      <c r="F12" s="5">
        <v>18.82</v>
      </c>
      <c r="G12" s="68">
        <v>18.8</v>
      </c>
      <c r="H12" s="68">
        <v>17</v>
      </c>
      <c r="I12" s="68">
        <v>17</v>
      </c>
      <c r="J12" s="68">
        <v>17</v>
      </c>
      <c r="K12" s="68">
        <v>17</v>
      </c>
      <c r="L12" s="68">
        <v>17</v>
      </c>
      <c r="M12" s="68">
        <v>17</v>
      </c>
    </row>
    <row r="13" spans="1:13" ht="78.75" x14ac:dyDescent="0.25">
      <c r="A13" s="68" t="s">
        <v>192</v>
      </c>
      <c r="B13" s="70" t="s">
        <v>193</v>
      </c>
      <c r="C13" s="68" t="s">
        <v>194</v>
      </c>
      <c r="D13" s="68" t="s">
        <v>101</v>
      </c>
      <c r="E13" s="6">
        <v>0.7</v>
      </c>
      <c r="F13" s="5">
        <v>0.7</v>
      </c>
      <c r="G13" s="68">
        <v>0.7</v>
      </c>
      <c r="H13" s="68">
        <v>0.7</v>
      </c>
      <c r="I13" s="68">
        <v>0.7</v>
      </c>
      <c r="J13" s="68">
        <v>0.7</v>
      </c>
      <c r="K13" s="68">
        <v>0.7</v>
      </c>
      <c r="L13" s="68">
        <v>0.7</v>
      </c>
      <c r="M13" s="68">
        <v>0.7</v>
      </c>
    </row>
    <row r="14" spans="1:13" ht="31.5" x14ac:dyDescent="0.25">
      <c r="A14" s="68" t="s">
        <v>195</v>
      </c>
      <c r="B14" s="70" t="s">
        <v>196</v>
      </c>
      <c r="C14" s="68" t="s">
        <v>131</v>
      </c>
      <c r="D14" s="68" t="s">
        <v>21</v>
      </c>
      <c r="E14" s="68">
        <v>18</v>
      </c>
      <c r="F14" s="68">
        <v>18</v>
      </c>
      <c r="G14" s="68">
        <v>18</v>
      </c>
      <c r="H14" s="68">
        <v>14</v>
      </c>
      <c r="I14" s="68">
        <v>14</v>
      </c>
      <c r="J14" s="68">
        <v>14</v>
      </c>
      <c r="K14" s="68">
        <v>14</v>
      </c>
      <c r="L14" s="68">
        <v>14</v>
      </c>
      <c r="M14" s="68">
        <v>14</v>
      </c>
    </row>
    <row r="15" spans="1:13" ht="68.25" customHeight="1" x14ac:dyDescent="0.25">
      <c r="A15" s="68" t="s">
        <v>197</v>
      </c>
      <c r="B15" s="70" t="s">
        <v>198</v>
      </c>
      <c r="C15" s="68" t="s">
        <v>199</v>
      </c>
      <c r="D15" s="68" t="s">
        <v>200</v>
      </c>
      <c r="E15" s="68">
        <v>5</v>
      </c>
      <c r="F15" s="68">
        <v>5</v>
      </c>
      <c r="G15" s="68">
        <v>5</v>
      </c>
      <c r="H15" s="68">
        <v>5</v>
      </c>
      <c r="I15" s="68">
        <v>5</v>
      </c>
      <c r="J15" s="68">
        <v>5</v>
      </c>
      <c r="K15" s="68">
        <v>5</v>
      </c>
      <c r="L15" s="68">
        <v>5</v>
      </c>
      <c r="M15" s="68">
        <v>5</v>
      </c>
    </row>
    <row r="16" spans="1:13" ht="72.75" customHeight="1" x14ac:dyDescent="0.25">
      <c r="A16" s="23" t="s">
        <v>201</v>
      </c>
      <c r="B16" s="175" t="s">
        <v>202</v>
      </c>
      <c r="C16" s="68" t="s">
        <v>199</v>
      </c>
      <c r="D16" s="68" t="s">
        <v>200</v>
      </c>
      <c r="E16" s="22">
        <v>5</v>
      </c>
      <c r="F16" s="22">
        <v>5</v>
      </c>
      <c r="G16" s="22">
        <v>5</v>
      </c>
      <c r="H16" s="22">
        <v>5</v>
      </c>
      <c r="I16" s="22">
        <v>5</v>
      </c>
      <c r="J16" s="22">
        <v>5</v>
      </c>
      <c r="K16" s="22">
        <v>5</v>
      </c>
      <c r="L16" s="22">
        <v>5</v>
      </c>
      <c r="M16" s="22">
        <v>5</v>
      </c>
    </row>
    <row r="17" spans="1:14" ht="157.5" x14ac:dyDescent="0.25">
      <c r="A17" s="23" t="s">
        <v>203</v>
      </c>
      <c r="B17" s="103" t="s">
        <v>513</v>
      </c>
      <c r="C17" s="68" t="s">
        <v>199</v>
      </c>
      <c r="D17" s="68" t="s">
        <v>200</v>
      </c>
      <c r="E17" s="22">
        <v>5</v>
      </c>
      <c r="F17" s="22">
        <v>5</v>
      </c>
      <c r="G17" s="22">
        <v>5</v>
      </c>
      <c r="H17" s="22">
        <v>5</v>
      </c>
      <c r="I17" s="22">
        <v>5</v>
      </c>
      <c r="J17" s="22">
        <v>5</v>
      </c>
      <c r="K17" s="22">
        <v>5</v>
      </c>
      <c r="L17" s="22">
        <v>5</v>
      </c>
      <c r="M17" s="22">
        <v>5</v>
      </c>
    </row>
    <row r="18" spans="1:14" ht="94.5" x14ac:dyDescent="0.25">
      <c r="A18" s="23" t="s">
        <v>514</v>
      </c>
      <c r="B18" s="103" t="s">
        <v>206</v>
      </c>
      <c r="C18" s="68" t="s">
        <v>199</v>
      </c>
      <c r="D18" s="68" t="s">
        <v>200</v>
      </c>
      <c r="E18" s="22">
        <v>5</v>
      </c>
      <c r="F18" s="22">
        <v>5</v>
      </c>
      <c r="G18" s="22">
        <v>5</v>
      </c>
      <c r="H18" s="22">
        <v>5</v>
      </c>
      <c r="I18" s="22">
        <v>5</v>
      </c>
      <c r="J18" s="22">
        <v>5</v>
      </c>
      <c r="K18" s="22">
        <v>5</v>
      </c>
      <c r="L18" s="22">
        <v>5</v>
      </c>
      <c r="M18" s="22">
        <v>5</v>
      </c>
    </row>
    <row r="19" spans="1:14" ht="63" x14ac:dyDescent="0.25">
      <c r="A19" s="23" t="s">
        <v>207</v>
      </c>
      <c r="B19" s="103" t="s">
        <v>208</v>
      </c>
      <c r="C19" s="68" t="s">
        <v>199</v>
      </c>
      <c r="D19" s="68" t="s">
        <v>515</v>
      </c>
      <c r="E19" s="22">
        <v>5</v>
      </c>
      <c r="F19" s="22">
        <v>5</v>
      </c>
      <c r="G19" s="22">
        <v>5</v>
      </c>
      <c r="H19" s="22">
        <v>5</v>
      </c>
      <c r="I19" s="22">
        <v>5</v>
      </c>
      <c r="J19" s="22">
        <v>5</v>
      </c>
      <c r="K19" s="22">
        <v>5</v>
      </c>
      <c r="L19" s="22">
        <v>5</v>
      </c>
      <c r="M19" s="22">
        <v>5</v>
      </c>
    </row>
    <row r="20" spans="1:14" ht="63" x14ac:dyDescent="0.25">
      <c r="A20" s="23" t="s">
        <v>209</v>
      </c>
      <c r="B20" s="103" t="s">
        <v>516</v>
      </c>
      <c r="C20" s="68" t="s">
        <v>199</v>
      </c>
      <c r="D20" s="68" t="s">
        <v>515</v>
      </c>
      <c r="E20" s="22">
        <v>5</v>
      </c>
      <c r="F20" s="22">
        <v>5</v>
      </c>
      <c r="G20" s="22">
        <v>5</v>
      </c>
      <c r="H20" s="22">
        <v>5</v>
      </c>
      <c r="I20" s="22">
        <v>5</v>
      </c>
      <c r="J20" s="22">
        <v>5</v>
      </c>
      <c r="K20" s="22">
        <v>5</v>
      </c>
      <c r="L20" s="22">
        <v>5</v>
      </c>
      <c r="M20" s="22">
        <v>5</v>
      </c>
    </row>
    <row r="21" spans="1:14" ht="63" x14ac:dyDescent="0.25">
      <c r="A21" s="23" t="s">
        <v>211</v>
      </c>
      <c r="B21" s="103" t="s">
        <v>212</v>
      </c>
      <c r="C21" s="68" t="s">
        <v>199</v>
      </c>
      <c r="D21" s="68" t="s">
        <v>200</v>
      </c>
      <c r="E21" s="22">
        <v>5</v>
      </c>
      <c r="F21" s="22">
        <v>5</v>
      </c>
      <c r="G21" s="22">
        <v>5</v>
      </c>
      <c r="H21" s="22">
        <v>5</v>
      </c>
      <c r="I21" s="22">
        <v>5</v>
      </c>
      <c r="J21" s="22">
        <v>5</v>
      </c>
      <c r="K21" s="22">
        <v>5</v>
      </c>
      <c r="L21" s="22">
        <v>5</v>
      </c>
      <c r="M21" s="22">
        <v>5</v>
      </c>
    </row>
    <row r="22" spans="1:14" ht="63" x14ac:dyDescent="0.25">
      <c r="A22" s="23" t="s">
        <v>517</v>
      </c>
      <c r="B22" s="175" t="s">
        <v>214</v>
      </c>
      <c r="C22" s="68" t="s">
        <v>199</v>
      </c>
      <c r="D22" s="68" t="s">
        <v>200</v>
      </c>
      <c r="E22" s="22">
        <v>5</v>
      </c>
      <c r="F22" s="22">
        <v>5</v>
      </c>
      <c r="G22" s="22">
        <v>5</v>
      </c>
      <c r="H22" s="22">
        <v>5</v>
      </c>
      <c r="I22" s="22">
        <v>5</v>
      </c>
      <c r="J22" s="22">
        <v>5</v>
      </c>
      <c r="K22" s="22">
        <v>5</v>
      </c>
      <c r="L22" s="22">
        <v>5</v>
      </c>
      <c r="M22" s="22">
        <v>5</v>
      </c>
    </row>
    <row r="23" spans="1:14" ht="63" x14ac:dyDescent="0.25">
      <c r="A23" s="23" t="s">
        <v>215</v>
      </c>
      <c r="B23" s="175" t="s">
        <v>216</v>
      </c>
      <c r="C23" s="68" t="s">
        <v>199</v>
      </c>
      <c r="D23" s="68" t="s">
        <v>200</v>
      </c>
      <c r="E23" s="22">
        <v>5</v>
      </c>
      <c r="F23" s="22">
        <v>5</v>
      </c>
      <c r="G23" s="22">
        <v>5</v>
      </c>
      <c r="H23" s="22">
        <v>5</v>
      </c>
      <c r="I23" s="22">
        <v>5</v>
      </c>
      <c r="J23" s="22">
        <v>5</v>
      </c>
      <c r="K23" s="22">
        <v>5</v>
      </c>
      <c r="L23" s="22">
        <v>5</v>
      </c>
      <c r="M23" s="22">
        <v>5</v>
      </c>
    </row>
    <row r="24" spans="1:14" ht="63" x14ac:dyDescent="0.25">
      <c r="A24" s="23" t="s">
        <v>217</v>
      </c>
      <c r="B24" s="175" t="s">
        <v>218</v>
      </c>
      <c r="C24" s="68" t="s">
        <v>199</v>
      </c>
      <c r="D24" s="68" t="s">
        <v>200</v>
      </c>
      <c r="E24" s="22">
        <v>5</v>
      </c>
      <c r="F24" s="22">
        <v>5</v>
      </c>
      <c r="G24" s="22">
        <v>5</v>
      </c>
      <c r="H24" s="22">
        <v>5</v>
      </c>
      <c r="I24" s="22">
        <v>5</v>
      </c>
      <c r="J24" s="22">
        <v>5</v>
      </c>
      <c r="K24" s="22">
        <v>5</v>
      </c>
      <c r="L24" s="22">
        <v>5</v>
      </c>
      <c r="M24" s="22">
        <v>5</v>
      </c>
    </row>
    <row r="25" spans="1:14" ht="63" x14ac:dyDescent="0.25">
      <c r="A25" s="23" t="s">
        <v>219</v>
      </c>
      <c r="B25" s="175" t="s">
        <v>220</v>
      </c>
      <c r="C25" s="68" t="s">
        <v>199</v>
      </c>
      <c r="D25" s="68" t="s">
        <v>200</v>
      </c>
      <c r="E25" s="22">
        <v>5</v>
      </c>
      <c r="F25" s="22">
        <v>5</v>
      </c>
      <c r="G25" s="22">
        <v>5</v>
      </c>
      <c r="H25" s="22">
        <v>5</v>
      </c>
      <c r="I25" s="22">
        <v>5</v>
      </c>
      <c r="J25" s="22">
        <v>5</v>
      </c>
      <c r="K25" s="22">
        <v>5</v>
      </c>
      <c r="L25" s="22">
        <v>5</v>
      </c>
      <c r="M25" s="22">
        <v>5</v>
      </c>
    </row>
    <row r="26" spans="1:14" ht="32.25" customHeight="1" x14ac:dyDescent="0.25">
      <c r="A26" s="407" t="s">
        <v>518</v>
      </c>
      <c r="B26" s="407"/>
      <c r="C26" s="407"/>
      <c r="D26" s="407"/>
      <c r="E26" s="407"/>
      <c r="F26" s="407"/>
      <c r="G26" s="407"/>
      <c r="H26" s="407"/>
      <c r="I26" s="407"/>
      <c r="J26" s="407"/>
      <c r="K26" s="407"/>
      <c r="L26" s="283"/>
      <c r="M26" s="284"/>
      <c r="N26" s="284"/>
    </row>
    <row r="27" spans="1:14" ht="47.25" x14ac:dyDescent="0.25">
      <c r="A27" s="285" t="s">
        <v>222</v>
      </c>
      <c r="B27" s="70" t="s">
        <v>519</v>
      </c>
      <c r="C27" s="68" t="s">
        <v>96</v>
      </c>
      <c r="D27" s="68" t="s">
        <v>101</v>
      </c>
      <c r="E27" s="6">
        <v>70</v>
      </c>
      <c r="F27" s="6">
        <v>71</v>
      </c>
      <c r="G27" s="68">
        <v>71</v>
      </c>
      <c r="H27" s="68">
        <v>71</v>
      </c>
      <c r="I27" s="68">
        <v>71</v>
      </c>
      <c r="J27" s="68">
        <v>71</v>
      </c>
      <c r="K27" s="68">
        <v>71</v>
      </c>
      <c r="L27" s="68">
        <v>71</v>
      </c>
      <c r="M27" s="68">
        <v>71</v>
      </c>
    </row>
    <row r="28" spans="1:14" ht="94.5" x14ac:dyDescent="0.25">
      <c r="A28" s="68" t="s">
        <v>224</v>
      </c>
      <c r="B28" s="70" t="s">
        <v>225</v>
      </c>
      <c r="C28" s="68" t="s">
        <v>520</v>
      </c>
      <c r="D28" s="68" t="s">
        <v>101</v>
      </c>
      <c r="E28" s="68" t="s">
        <v>227</v>
      </c>
      <c r="F28" s="68" t="s">
        <v>228</v>
      </c>
      <c r="G28" s="68" t="s">
        <v>229</v>
      </c>
      <c r="H28" s="68" t="s">
        <v>230</v>
      </c>
      <c r="I28" s="68" t="s">
        <v>231</v>
      </c>
      <c r="J28" s="68" t="s">
        <v>232</v>
      </c>
      <c r="K28" s="68" t="s">
        <v>233</v>
      </c>
      <c r="L28" s="68" t="s">
        <v>233</v>
      </c>
      <c r="M28" s="68" t="s">
        <v>233</v>
      </c>
    </row>
    <row r="29" spans="1:14" ht="45" customHeight="1" x14ac:dyDescent="0.3">
      <c r="A29" s="35"/>
      <c r="B29" s="183" t="s">
        <v>33</v>
      </c>
      <c r="C29" s="183"/>
      <c r="D29" s="183"/>
      <c r="E29" s="183"/>
      <c r="F29" s="183"/>
      <c r="G29" s="478" t="s">
        <v>255</v>
      </c>
      <c r="H29" s="478"/>
      <c r="I29" s="172"/>
      <c r="J29" s="172"/>
    </row>
    <row r="30" spans="1:14" ht="68.25" customHeight="1" x14ac:dyDescent="0.25">
      <c r="A30" s="35"/>
    </row>
    <row r="31" spans="1:14" ht="129.75" customHeight="1" x14ac:dyDescent="0.25">
      <c r="A31" s="35"/>
    </row>
    <row r="32" spans="1:14" ht="98.25" customHeight="1" x14ac:dyDescent="0.25">
      <c r="A32" s="35"/>
    </row>
    <row r="33" spans="1:1" ht="70.5" customHeight="1" x14ac:dyDescent="0.25">
      <c r="A33" s="35"/>
    </row>
    <row r="34" spans="1:1" ht="66.75" customHeight="1" x14ac:dyDescent="0.25">
      <c r="A34" s="35"/>
    </row>
    <row r="35" spans="1:1" ht="53.25" customHeight="1" x14ac:dyDescent="0.25">
      <c r="A35" s="35"/>
    </row>
    <row r="36" spans="1:1" x14ac:dyDescent="0.25">
      <c r="A36" s="35"/>
    </row>
    <row r="37" spans="1:1" x14ac:dyDescent="0.25">
      <c r="A37" s="35"/>
    </row>
  </sheetData>
  <mergeCells count="19">
    <mergeCell ref="L3:L5"/>
    <mergeCell ref="M3:M5"/>
    <mergeCell ref="A6:K6"/>
    <mergeCell ref="E1:K1"/>
    <mergeCell ref="A2:K2"/>
    <mergeCell ref="A3:A5"/>
    <mergeCell ref="B3:B5"/>
    <mergeCell ref="C3:C5"/>
    <mergeCell ref="D3:D5"/>
    <mergeCell ref="E3:E5"/>
    <mergeCell ref="F3:F5"/>
    <mergeCell ref="G3:G5"/>
    <mergeCell ref="H3:H5"/>
    <mergeCell ref="A7:K7"/>
    <mergeCell ref="A26:K26"/>
    <mergeCell ref="G29:H29"/>
    <mergeCell ref="I3:I5"/>
    <mergeCell ref="J3:J5"/>
    <mergeCell ref="K3:K5"/>
  </mergeCells>
  <pageMargins left="0.31496062992125984" right="0.11811023622047245" top="0.55118110236220474" bottom="0.35433070866141736" header="0.31496062992125984" footer="0.31496062992125984"/>
  <pageSetup paperSize="9" scale="66" fitToHeight="2" orientation="landscape" r:id="rId1"/>
  <headerFooter differentFirst="1">
    <oddHeader>&amp;C&amp;P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R84"/>
  <sheetViews>
    <sheetView tabSelected="1" view="pageBreakPreview" topLeftCell="F1" zoomScale="75" zoomScaleNormal="75" zoomScaleSheetLayoutView="75" workbookViewId="0">
      <selection activeCell="N1" sqref="N1"/>
    </sheetView>
  </sheetViews>
  <sheetFormatPr defaultColWidth="9.28515625" defaultRowHeight="15.75" x14ac:dyDescent="0.25"/>
  <cols>
    <col min="1" max="1" width="8.42578125" style="171" customWidth="1"/>
    <col min="2" max="2" width="42.28515625" style="35" customWidth="1"/>
    <col min="3" max="3" width="21.5703125" style="172" customWidth="1"/>
    <col min="4" max="4" width="13" style="172" customWidth="1"/>
    <col min="5" max="5" width="13.7109375" style="172" customWidth="1"/>
    <col min="6" max="6" width="17.28515625" style="172" customWidth="1"/>
    <col min="7" max="7" width="13" style="172" customWidth="1"/>
    <col min="8" max="8" width="14.7109375" style="172" customWidth="1"/>
    <col min="9" max="10" width="14.7109375" style="35" customWidth="1"/>
    <col min="11" max="11" width="14.7109375" style="84" customWidth="1"/>
    <col min="12" max="17" width="14.7109375" style="35" customWidth="1"/>
    <col min="18" max="18" width="74.140625" style="35" customWidth="1"/>
    <col min="19" max="16384" width="9.28515625" style="35"/>
  </cols>
  <sheetData>
    <row r="1" spans="1:18" s="115" customFormat="1" ht="71.25" customHeight="1" x14ac:dyDescent="0.25">
      <c r="A1" s="138"/>
      <c r="B1" s="139"/>
      <c r="C1" s="140"/>
      <c r="D1" s="140"/>
      <c r="E1" s="140"/>
      <c r="F1" s="140"/>
      <c r="G1" s="140"/>
      <c r="H1" s="140"/>
      <c r="I1" s="415"/>
      <c r="J1" s="415"/>
      <c r="K1" s="174"/>
      <c r="Q1" s="477" t="s">
        <v>521</v>
      </c>
      <c r="R1" s="477"/>
    </row>
    <row r="2" spans="1:18" s="115" customFormat="1" ht="36" customHeight="1" x14ac:dyDescent="0.25">
      <c r="A2" s="417" t="s">
        <v>257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s="417"/>
    </row>
    <row r="3" spans="1:18" s="115" customFormat="1" ht="32.25" customHeight="1" x14ac:dyDescent="0.25">
      <c r="A3" s="305" t="s">
        <v>88</v>
      </c>
      <c r="B3" s="305" t="s">
        <v>258</v>
      </c>
      <c r="C3" s="305" t="s">
        <v>7</v>
      </c>
      <c r="D3" s="305" t="s">
        <v>5</v>
      </c>
      <c r="E3" s="305"/>
      <c r="F3" s="305"/>
      <c r="G3" s="305"/>
      <c r="H3" s="474" t="s">
        <v>6</v>
      </c>
      <c r="I3" s="475"/>
      <c r="J3" s="475"/>
      <c r="K3" s="475"/>
      <c r="L3" s="475"/>
      <c r="M3" s="475"/>
      <c r="N3" s="475"/>
      <c r="O3" s="475"/>
      <c r="P3" s="475"/>
      <c r="Q3" s="476"/>
      <c r="R3" s="305" t="s">
        <v>508</v>
      </c>
    </row>
    <row r="4" spans="1:18" s="115" customFormat="1" ht="37.5" customHeight="1" x14ac:dyDescent="0.25">
      <c r="A4" s="305"/>
      <c r="B4" s="305"/>
      <c r="C4" s="305"/>
      <c r="D4" s="6" t="s">
        <v>7</v>
      </c>
      <c r="E4" s="6" t="s">
        <v>8</v>
      </c>
      <c r="F4" s="6" t="s">
        <v>9</v>
      </c>
      <c r="G4" s="6" t="s">
        <v>10</v>
      </c>
      <c r="H4" s="6">
        <v>2014</v>
      </c>
      <c r="I4" s="6">
        <v>2015</v>
      </c>
      <c r="J4" s="6">
        <v>2016</v>
      </c>
      <c r="K4" s="6">
        <v>2017</v>
      </c>
      <c r="L4" s="6">
        <v>2018</v>
      </c>
      <c r="M4" s="6">
        <v>2019</v>
      </c>
      <c r="N4" s="6">
        <v>2020</v>
      </c>
      <c r="O4" s="6">
        <v>2021</v>
      </c>
      <c r="P4" s="6">
        <v>2022</v>
      </c>
      <c r="Q4" s="6" t="s">
        <v>11</v>
      </c>
      <c r="R4" s="305"/>
    </row>
    <row r="5" spans="1:18" ht="27" customHeight="1" x14ac:dyDescent="0.25">
      <c r="A5" s="312" t="s">
        <v>510</v>
      </c>
      <c r="B5" s="312"/>
      <c r="C5" s="312"/>
      <c r="D5" s="312"/>
      <c r="E5" s="312"/>
      <c r="F5" s="312"/>
      <c r="G5" s="312"/>
      <c r="H5" s="312"/>
      <c r="I5" s="312"/>
      <c r="J5" s="312"/>
      <c r="K5" s="312"/>
      <c r="L5" s="312"/>
      <c r="M5" s="312"/>
      <c r="N5" s="312"/>
      <c r="O5" s="312"/>
      <c r="P5" s="312"/>
      <c r="Q5" s="312"/>
      <c r="R5" s="312"/>
    </row>
    <row r="6" spans="1:18" ht="27" customHeight="1" x14ac:dyDescent="0.25">
      <c r="A6" s="485" t="s">
        <v>522</v>
      </c>
      <c r="B6" s="486"/>
      <c r="C6" s="486"/>
      <c r="D6" s="486"/>
      <c r="E6" s="486"/>
      <c r="F6" s="486"/>
      <c r="G6" s="486"/>
      <c r="H6" s="486"/>
      <c r="I6" s="486"/>
      <c r="J6" s="486"/>
      <c r="K6" s="486"/>
      <c r="L6" s="486"/>
      <c r="M6" s="486"/>
      <c r="N6" s="486"/>
      <c r="O6" s="486"/>
      <c r="P6" s="486"/>
      <c r="Q6" s="486"/>
      <c r="R6" s="487"/>
    </row>
    <row r="7" spans="1:18" ht="45" customHeight="1" x14ac:dyDescent="0.25">
      <c r="A7" s="408" t="s">
        <v>180</v>
      </c>
      <c r="B7" s="300" t="s">
        <v>523</v>
      </c>
      <c r="C7" s="300" t="s">
        <v>261</v>
      </c>
      <c r="D7" s="142" t="s">
        <v>18</v>
      </c>
      <c r="E7" s="142" t="s">
        <v>404</v>
      </c>
      <c r="F7" s="142" t="s">
        <v>524</v>
      </c>
      <c r="G7" s="22">
        <v>120</v>
      </c>
      <c r="H7" s="286">
        <v>1257.5999999999999</v>
      </c>
      <c r="I7" s="286">
        <v>1420.8</v>
      </c>
      <c r="J7" s="286">
        <v>1452.9</v>
      </c>
      <c r="K7" s="286">
        <v>1366.4</v>
      </c>
      <c r="L7" s="286">
        <v>1552.5</v>
      </c>
      <c r="M7" s="286">
        <v>1695.9</v>
      </c>
      <c r="N7" s="286">
        <v>1792.1</v>
      </c>
      <c r="O7" s="286">
        <v>1792.1</v>
      </c>
      <c r="P7" s="286">
        <f>O7</f>
        <v>1792.1</v>
      </c>
      <c r="Q7" s="286">
        <f>SUM(H7:P7)</f>
        <v>14122.4</v>
      </c>
      <c r="R7" s="302" t="s">
        <v>525</v>
      </c>
    </row>
    <row r="8" spans="1:18" ht="45" customHeight="1" x14ac:dyDescent="0.25">
      <c r="A8" s="409"/>
      <c r="B8" s="301"/>
      <c r="C8" s="301"/>
      <c r="D8" s="22">
        <v>975</v>
      </c>
      <c r="E8" s="142" t="s">
        <v>404</v>
      </c>
      <c r="F8" s="142" t="s">
        <v>524</v>
      </c>
      <c r="G8" s="22" t="s">
        <v>526</v>
      </c>
      <c r="H8" s="286">
        <v>318.60000000000002</v>
      </c>
      <c r="I8" s="286">
        <v>600.70000000000005</v>
      </c>
      <c r="J8" s="286">
        <v>513.5</v>
      </c>
      <c r="K8" s="286">
        <f>411.1+0.5</f>
        <v>411.6</v>
      </c>
      <c r="L8" s="286">
        <v>298.89999999999998</v>
      </c>
      <c r="M8" s="286">
        <v>264.5</v>
      </c>
      <c r="N8" s="286">
        <v>194.5</v>
      </c>
      <c r="O8" s="286">
        <v>194.5</v>
      </c>
      <c r="P8" s="286">
        <f t="shared" ref="P8:P35" si="0">O8</f>
        <v>194.5</v>
      </c>
      <c r="Q8" s="286">
        <f t="shared" ref="Q8:Q35" si="1">SUM(H8:P8)</f>
        <v>2991.3</v>
      </c>
      <c r="R8" s="303"/>
    </row>
    <row r="9" spans="1:18" ht="24.95" customHeight="1" x14ac:dyDescent="0.25">
      <c r="A9" s="409"/>
      <c r="B9" s="301"/>
      <c r="C9" s="301"/>
      <c r="D9" s="265" t="s">
        <v>18</v>
      </c>
      <c r="E9" s="142" t="s">
        <v>404</v>
      </c>
      <c r="F9" s="142" t="s">
        <v>527</v>
      </c>
      <c r="G9" s="22">
        <v>120</v>
      </c>
      <c r="H9" s="286">
        <v>330.4</v>
      </c>
      <c r="I9" s="286">
        <v>342.6</v>
      </c>
      <c r="J9" s="286">
        <v>342.6</v>
      </c>
      <c r="K9" s="286">
        <v>335.6</v>
      </c>
      <c r="L9" s="286">
        <v>343.5</v>
      </c>
      <c r="M9" s="286">
        <v>350.3</v>
      </c>
      <c r="N9" s="286">
        <v>350.3</v>
      </c>
      <c r="O9" s="286">
        <v>350.3</v>
      </c>
      <c r="P9" s="286">
        <f t="shared" si="0"/>
        <v>350.3</v>
      </c>
      <c r="Q9" s="286">
        <f t="shared" si="1"/>
        <v>3095.9000000000005</v>
      </c>
      <c r="R9" s="287"/>
    </row>
    <row r="10" spans="1:18" ht="24.95" customHeight="1" x14ac:dyDescent="0.25">
      <c r="A10" s="409"/>
      <c r="B10" s="301"/>
      <c r="C10" s="301"/>
      <c r="D10" s="265" t="s">
        <v>18</v>
      </c>
      <c r="E10" s="142" t="s">
        <v>404</v>
      </c>
      <c r="F10" s="142" t="s">
        <v>528</v>
      </c>
      <c r="G10" s="22">
        <v>120</v>
      </c>
      <c r="H10" s="286"/>
      <c r="I10" s="286"/>
      <c r="J10" s="286"/>
      <c r="K10" s="286"/>
      <c r="L10" s="286"/>
      <c r="M10" s="286">
        <v>36.4</v>
      </c>
      <c r="N10" s="286"/>
      <c r="O10" s="286"/>
      <c r="P10" s="286">
        <f t="shared" si="0"/>
        <v>0</v>
      </c>
      <c r="Q10" s="286">
        <f t="shared" si="1"/>
        <v>36.4</v>
      </c>
      <c r="R10" s="287"/>
    </row>
    <row r="11" spans="1:18" ht="24.95" customHeight="1" x14ac:dyDescent="0.25">
      <c r="A11" s="409"/>
      <c r="B11" s="301"/>
      <c r="C11" s="301"/>
      <c r="D11" s="265" t="s">
        <v>18</v>
      </c>
      <c r="E11" s="142" t="s">
        <v>404</v>
      </c>
      <c r="F11" s="142" t="s">
        <v>529</v>
      </c>
      <c r="G11" s="22">
        <v>120</v>
      </c>
      <c r="H11" s="286"/>
      <c r="I11" s="286"/>
      <c r="J11" s="286"/>
      <c r="K11" s="286"/>
      <c r="L11" s="286">
        <v>96.2</v>
      </c>
      <c r="M11" s="286"/>
      <c r="N11" s="286"/>
      <c r="O11" s="286"/>
      <c r="P11" s="286">
        <f t="shared" si="0"/>
        <v>0</v>
      </c>
      <c r="Q11" s="286">
        <f t="shared" si="1"/>
        <v>96.2</v>
      </c>
      <c r="R11" s="287"/>
    </row>
    <row r="12" spans="1:18" ht="24.95" customHeight="1" x14ac:dyDescent="0.25">
      <c r="A12" s="409"/>
      <c r="B12" s="301"/>
      <c r="C12" s="301"/>
      <c r="D12" s="22">
        <v>975</v>
      </c>
      <c r="E12" s="142" t="s">
        <v>404</v>
      </c>
      <c r="F12" s="142" t="s">
        <v>530</v>
      </c>
      <c r="G12" s="22">
        <v>120</v>
      </c>
      <c r="H12" s="286"/>
      <c r="I12" s="286"/>
      <c r="J12" s="286"/>
      <c r="K12" s="286"/>
      <c r="L12" s="286">
        <v>12.8</v>
      </c>
      <c r="M12" s="286"/>
      <c r="N12" s="286"/>
      <c r="O12" s="286"/>
      <c r="P12" s="286">
        <f t="shared" si="0"/>
        <v>0</v>
      </c>
      <c r="Q12" s="286">
        <f t="shared" si="1"/>
        <v>12.8</v>
      </c>
      <c r="R12" s="287"/>
    </row>
    <row r="13" spans="1:18" ht="24.95" customHeight="1" x14ac:dyDescent="0.25">
      <c r="A13" s="410"/>
      <c r="B13" s="319"/>
      <c r="C13" s="319"/>
      <c r="D13" s="22">
        <v>975</v>
      </c>
      <c r="E13" s="142" t="s">
        <v>404</v>
      </c>
      <c r="F13" s="142" t="s">
        <v>531</v>
      </c>
      <c r="G13" s="22">
        <v>120</v>
      </c>
      <c r="H13" s="286"/>
      <c r="I13" s="286"/>
      <c r="J13" s="286"/>
      <c r="K13" s="286"/>
      <c r="L13" s="286">
        <v>55.9</v>
      </c>
      <c r="M13" s="286"/>
      <c r="N13" s="286"/>
      <c r="O13" s="286"/>
      <c r="P13" s="286">
        <f t="shared" si="0"/>
        <v>0</v>
      </c>
      <c r="Q13" s="286">
        <f t="shared" si="1"/>
        <v>55.9</v>
      </c>
      <c r="R13" s="287"/>
    </row>
    <row r="14" spans="1:18" ht="45" customHeight="1" x14ac:dyDescent="0.25">
      <c r="A14" s="261" t="s">
        <v>323</v>
      </c>
      <c r="B14" s="264" t="s">
        <v>532</v>
      </c>
      <c r="C14" s="21" t="s">
        <v>533</v>
      </c>
      <c r="D14" s="142" t="s">
        <v>18</v>
      </c>
      <c r="E14" s="142" t="s">
        <v>404</v>
      </c>
      <c r="F14" s="142" t="s">
        <v>534</v>
      </c>
      <c r="G14" s="22">
        <v>110</v>
      </c>
      <c r="H14" s="286">
        <v>623.6</v>
      </c>
      <c r="I14" s="286">
        <v>623.6</v>
      </c>
      <c r="J14" s="286">
        <v>623.6</v>
      </c>
      <c r="K14" s="286">
        <v>610</v>
      </c>
      <c r="L14" s="286">
        <f>623.6</f>
        <v>623.6</v>
      </c>
      <c r="M14" s="286">
        <v>623.6</v>
      </c>
      <c r="N14" s="286">
        <v>623.6</v>
      </c>
      <c r="O14" s="286">
        <v>623.6</v>
      </c>
      <c r="P14" s="286">
        <f t="shared" si="0"/>
        <v>623.6</v>
      </c>
      <c r="Q14" s="286">
        <f t="shared" si="1"/>
        <v>5598.8000000000011</v>
      </c>
      <c r="R14" s="154" t="s">
        <v>535</v>
      </c>
    </row>
    <row r="15" spans="1:18" ht="24.95" customHeight="1" x14ac:dyDescent="0.25">
      <c r="A15" s="381" t="s">
        <v>324</v>
      </c>
      <c r="B15" s="305" t="s">
        <v>536</v>
      </c>
      <c r="C15" s="305" t="s">
        <v>537</v>
      </c>
      <c r="D15" s="142" t="s">
        <v>22</v>
      </c>
      <c r="E15" s="142" t="s">
        <v>404</v>
      </c>
      <c r="F15" s="142" t="s">
        <v>538</v>
      </c>
      <c r="G15" s="22">
        <v>110</v>
      </c>
      <c r="H15" s="288"/>
      <c r="I15" s="288"/>
      <c r="J15" s="288"/>
      <c r="K15" s="288"/>
      <c r="L15" s="288">
        <v>564.29999999999995</v>
      </c>
      <c r="M15" s="288"/>
      <c r="N15" s="288"/>
      <c r="O15" s="288"/>
      <c r="P15" s="286">
        <f t="shared" si="0"/>
        <v>0</v>
      </c>
      <c r="Q15" s="286">
        <f t="shared" si="1"/>
        <v>564.29999999999995</v>
      </c>
      <c r="R15" s="312" t="s">
        <v>539</v>
      </c>
    </row>
    <row r="16" spans="1:18" ht="24.95" customHeight="1" x14ac:dyDescent="0.25">
      <c r="A16" s="381"/>
      <c r="B16" s="305"/>
      <c r="C16" s="305"/>
      <c r="D16" s="142" t="s">
        <v>22</v>
      </c>
      <c r="E16" s="142" t="s">
        <v>404</v>
      </c>
      <c r="F16" s="142" t="s">
        <v>534</v>
      </c>
      <c r="G16" s="22">
        <v>110</v>
      </c>
      <c r="H16" s="288">
        <v>13131.6</v>
      </c>
      <c r="I16" s="288">
        <v>13815.5</v>
      </c>
      <c r="J16" s="288">
        <v>14161.8</v>
      </c>
      <c r="K16" s="288">
        <v>14410.6</v>
      </c>
      <c r="L16" s="288">
        <f>11061.4+19+3328.3</f>
        <v>14408.7</v>
      </c>
      <c r="M16" s="288">
        <v>14519.2</v>
      </c>
      <c r="N16" s="288">
        <v>14513.2</v>
      </c>
      <c r="O16" s="288">
        <v>14513.2</v>
      </c>
      <c r="P16" s="286">
        <f t="shared" si="0"/>
        <v>14513.2</v>
      </c>
      <c r="Q16" s="286">
        <f t="shared" si="1"/>
        <v>127986.99999999999</v>
      </c>
      <c r="R16" s="312"/>
    </row>
    <row r="17" spans="1:18" ht="24.95" customHeight="1" x14ac:dyDescent="0.25">
      <c r="A17" s="381"/>
      <c r="B17" s="305"/>
      <c r="C17" s="305"/>
      <c r="D17" s="142" t="s">
        <v>22</v>
      </c>
      <c r="E17" s="142" t="s">
        <v>404</v>
      </c>
      <c r="F17" s="142" t="s">
        <v>540</v>
      </c>
      <c r="G17" s="22">
        <v>110</v>
      </c>
      <c r="H17" s="288"/>
      <c r="I17" s="288">
        <v>9.6999999999999993</v>
      </c>
      <c r="J17" s="288">
        <v>10.9</v>
      </c>
      <c r="K17" s="288">
        <v>12.4</v>
      </c>
      <c r="L17" s="288">
        <v>52.5</v>
      </c>
      <c r="M17" s="288">
        <v>130.5</v>
      </c>
      <c r="N17" s="288">
        <v>31.5</v>
      </c>
      <c r="O17" s="288">
        <v>31.5</v>
      </c>
      <c r="P17" s="286">
        <f t="shared" si="0"/>
        <v>31.5</v>
      </c>
      <c r="Q17" s="286">
        <f t="shared" si="1"/>
        <v>310.5</v>
      </c>
      <c r="R17" s="312"/>
    </row>
    <row r="18" spans="1:18" ht="24.95" customHeight="1" x14ac:dyDescent="0.25">
      <c r="A18" s="381"/>
      <c r="B18" s="305"/>
      <c r="C18" s="305"/>
      <c r="D18" s="142" t="s">
        <v>22</v>
      </c>
      <c r="E18" s="142" t="s">
        <v>404</v>
      </c>
      <c r="F18" s="142" t="s">
        <v>534</v>
      </c>
      <c r="G18" s="22">
        <v>850</v>
      </c>
      <c r="H18" s="288">
        <v>0</v>
      </c>
      <c r="I18" s="288">
        <v>0</v>
      </c>
      <c r="J18" s="288">
        <v>0</v>
      </c>
      <c r="K18" s="288">
        <v>21.8</v>
      </c>
      <c r="L18" s="288">
        <v>0.01</v>
      </c>
      <c r="M18" s="288"/>
      <c r="N18" s="288"/>
      <c r="O18" s="288"/>
      <c r="P18" s="286">
        <f t="shared" si="0"/>
        <v>0</v>
      </c>
      <c r="Q18" s="286">
        <f t="shared" si="1"/>
        <v>21.810000000000002</v>
      </c>
      <c r="R18" s="312"/>
    </row>
    <row r="19" spans="1:18" ht="24.95" customHeight="1" x14ac:dyDescent="0.25">
      <c r="A19" s="381"/>
      <c r="B19" s="305"/>
      <c r="C19" s="305"/>
      <c r="D19" s="142" t="s">
        <v>22</v>
      </c>
      <c r="E19" s="142" t="s">
        <v>404</v>
      </c>
      <c r="F19" s="142" t="s">
        <v>534</v>
      </c>
      <c r="G19" s="22">
        <v>240</v>
      </c>
      <c r="H19" s="288">
        <v>1021.5</v>
      </c>
      <c r="I19" s="288">
        <v>1111.2</v>
      </c>
      <c r="J19" s="288">
        <v>1144</v>
      </c>
      <c r="K19" s="288">
        <v>927.7</v>
      </c>
      <c r="L19" s="288">
        <v>969.6</v>
      </c>
      <c r="M19" s="288">
        <f>810.4+101.1</f>
        <v>911.5</v>
      </c>
      <c r="N19" s="288">
        <v>608.9</v>
      </c>
      <c r="O19" s="288">
        <v>608.9</v>
      </c>
      <c r="P19" s="286">
        <f t="shared" si="0"/>
        <v>608.9</v>
      </c>
      <c r="Q19" s="286">
        <f t="shared" si="1"/>
        <v>7912.1999999999989</v>
      </c>
      <c r="R19" s="312"/>
    </row>
    <row r="20" spans="1:18" ht="24.95" customHeight="1" x14ac:dyDescent="0.25">
      <c r="A20" s="381" t="s">
        <v>325</v>
      </c>
      <c r="B20" s="312" t="s">
        <v>541</v>
      </c>
      <c r="C20" s="312" t="s">
        <v>542</v>
      </c>
      <c r="D20" s="142" t="s">
        <v>18</v>
      </c>
      <c r="E20" s="142" t="s">
        <v>404</v>
      </c>
      <c r="F20" s="142" t="s">
        <v>534</v>
      </c>
      <c r="G20" s="22">
        <v>110</v>
      </c>
      <c r="H20" s="288">
        <f>2965-H14</f>
        <v>2341.4</v>
      </c>
      <c r="I20" s="288">
        <f>3154-I14</f>
        <v>2530.4</v>
      </c>
      <c r="J20" s="288">
        <f>3155.8-J14</f>
        <v>2532.2000000000003</v>
      </c>
      <c r="K20" s="288">
        <f>4414.9-K14</f>
        <v>3804.8999999999996</v>
      </c>
      <c r="L20" s="288">
        <f>4501.5-L14</f>
        <v>3877.9</v>
      </c>
      <c r="M20" s="288">
        <f>4489.2-M14</f>
        <v>3865.6</v>
      </c>
      <c r="N20" s="288">
        <f>4489.2-N14</f>
        <v>3865.6</v>
      </c>
      <c r="O20" s="288">
        <f>4489.2-O14</f>
        <v>3865.6</v>
      </c>
      <c r="P20" s="286">
        <f t="shared" si="0"/>
        <v>3865.6</v>
      </c>
      <c r="Q20" s="286">
        <f t="shared" si="1"/>
        <v>30549.199999999993</v>
      </c>
      <c r="R20" s="312" t="s">
        <v>543</v>
      </c>
    </row>
    <row r="21" spans="1:18" ht="24.95" customHeight="1" x14ac:dyDescent="0.25">
      <c r="A21" s="381"/>
      <c r="B21" s="312"/>
      <c r="C21" s="312"/>
      <c r="D21" s="142" t="s">
        <v>18</v>
      </c>
      <c r="E21" s="142" t="s">
        <v>404</v>
      </c>
      <c r="F21" s="142" t="s">
        <v>534</v>
      </c>
      <c r="G21" s="22">
        <v>240</v>
      </c>
      <c r="H21" s="288">
        <v>452.8</v>
      </c>
      <c r="I21" s="288">
        <v>540.79999999999995</v>
      </c>
      <c r="J21" s="288">
        <v>696.6</v>
      </c>
      <c r="K21" s="288">
        <v>1035.5</v>
      </c>
      <c r="L21" s="288">
        <v>708.9</v>
      </c>
      <c r="M21" s="288">
        <f>374+50</f>
        <v>424</v>
      </c>
      <c r="N21" s="288">
        <v>338.2</v>
      </c>
      <c r="O21" s="288">
        <v>338.2</v>
      </c>
      <c r="P21" s="286">
        <f t="shared" si="0"/>
        <v>338.2</v>
      </c>
      <c r="Q21" s="286">
        <f t="shared" si="1"/>
        <v>4873.2</v>
      </c>
      <c r="R21" s="312"/>
    </row>
    <row r="22" spans="1:18" ht="24.95" customHeight="1" x14ac:dyDescent="0.25">
      <c r="A22" s="381"/>
      <c r="B22" s="312"/>
      <c r="C22" s="312"/>
      <c r="D22" s="142" t="s">
        <v>18</v>
      </c>
      <c r="E22" s="142" t="s">
        <v>404</v>
      </c>
      <c r="F22" s="142" t="s">
        <v>540</v>
      </c>
      <c r="G22" s="22">
        <v>110</v>
      </c>
      <c r="H22" s="288">
        <v>17.100000000000001</v>
      </c>
      <c r="I22" s="288">
        <v>29.8</v>
      </c>
      <c r="J22" s="288">
        <v>46.6</v>
      </c>
      <c r="K22" s="288">
        <v>58.6</v>
      </c>
      <c r="L22" s="288">
        <v>84.9</v>
      </c>
      <c r="M22" s="288">
        <v>97.6</v>
      </c>
      <c r="N22" s="288">
        <v>39.700000000000003</v>
      </c>
      <c r="O22" s="288">
        <v>39.700000000000003</v>
      </c>
      <c r="P22" s="286">
        <f t="shared" si="0"/>
        <v>39.700000000000003</v>
      </c>
      <c r="Q22" s="286">
        <f t="shared" si="1"/>
        <v>453.7</v>
      </c>
      <c r="R22" s="312"/>
    </row>
    <row r="23" spans="1:18" ht="24.95" customHeight="1" x14ac:dyDescent="0.25">
      <c r="A23" s="381"/>
      <c r="B23" s="312"/>
      <c r="C23" s="312"/>
      <c r="D23" s="142" t="s">
        <v>18</v>
      </c>
      <c r="E23" s="142" t="s">
        <v>404</v>
      </c>
      <c r="F23" s="142" t="s">
        <v>544</v>
      </c>
      <c r="G23" s="22">
        <v>110</v>
      </c>
      <c r="H23" s="288">
        <v>41.5</v>
      </c>
      <c r="I23" s="288">
        <v>4.4000000000000004</v>
      </c>
      <c r="J23" s="288"/>
      <c r="K23" s="288"/>
      <c r="L23" s="288"/>
      <c r="M23" s="288"/>
      <c r="N23" s="288"/>
      <c r="O23" s="288"/>
      <c r="P23" s="286">
        <f t="shared" si="0"/>
        <v>0</v>
      </c>
      <c r="Q23" s="286">
        <f t="shared" si="1"/>
        <v>45.9</v>
      </c>
      <c r="R23" s="312"/>
    </row>
    <row r="24" spans="1:18" ht="24.95" customHeight="1" x14ac:dyDescent="0.25">
      <c r="A24" s="381"/>
      <c r="B24" s="312"/>
      <c r="C24" s="312"/>
      <c r="D24" s="142" t="s">
        <v>18</v>
      </c>
      <c r="E24" s="142" t="s">
        <v>404</v>
      </c>
      <c r="F24" s="142" t="s">
        <v>545</v>
      </c>
      <c r="G24" s="22">
        <v>110</v>
      </c>
      <c r="H24" s="288">
        <v>0.6</v>
      </c>
      <c r="I24" s="288"/>
      <c r="J24" s="288"/>
      <c r="K24" s="288"/>
      <c r="L24" s="288"/>
      <c r="M24" s="288"/>
      <c r="N24" s="288"/>
      <c r="O24" s="288"/>
      <c r="P24" s="286">
        <f t="shared" si="0"/>
        <v>0</v>
      </c>
      <c r="Q24" s="286">
        <f t="shared" si="1"/>
        <v>0.6</v>
      </c>
      <c r="R24" s="312"/>
    </row>
    <row r="25" spans="1:18" ht="24.95" customHeight="1" x14ac:dyDescent="0.25">
      <c r="A25" s="381"/>
      <c r="B25" s="312"/>
      <c r="C25" s="312"/>
      <c r="D25" s="142" t="s">
        <v>18</v>
      </c>
      <c r="E25" s="142" t="s">
        <v>404</v>
      </c>
      <c r="F25" s="142" t="s">
        <v>534</v>
      </c>
      <c r="G25" s="22">
        <v>350</v>
      </c>
      <c r="H25" s="288"/>
      <c r="I25" s="288"/>
      <c r="J25" s="288">
        <v>178.1</v>
      </c>
      <c r="K25" s="288">
        <v>228.1</v>
      </c>
      <c r="L25" s="288">
        <v>209.8</v>
      </c>
      <c r="M25" s="288">
        <v>280</v>
      </c>
      <c r="N25" s="288"/>
      <c r="O25" s="288"/>
      <c r="P25" s="286">
        <f t="shared" si="0"/>
        <v>0</v>
      </c>
      <c r="Q25" s="286">
        <f t="shared" si="1"/>
        <v>896</v>
      </c>
      <c r="R25" s="312"/>
    </row>
    <row r="26" spans="1:18" ht="24.95" customHeight="1" x14ac:dyDescent="0.25">
      <c r="A26" s="381"/>
      <c r="B26" s="312"/>
      <c r="C26" s="312"/>
      <c r="D26" s="142" t="s">
        <v>18</v>
      </c>
      <c r="E26" s="142" t="s">
        <v>404</v>
      </c>
      <c r="F26" s="142" t="s">
        <v>534</v>
      </c>
      <c r="G26" s="22">
        <v>360</v>
      </c>
      <c r="H26" s="288"/>
      <c r="I26" s="288"/>
      <c r="J26" s="288">
        <v>102</v>
      </c>
      <c r="K26" s="288">
        <v>70</v>
      </c>
      <c r="L26" s="288">
        <v>100</v>
      </c>
      <c r="M26" s="288"/>
      <c r="N26" s="288"/>
      <c r="O26" s="288"/>
      <c r="P26" s="286">
        <f t="shared" si="0"/>
        <v>0</v>
      </c>
      <c r="Q26" s="286">
        <f t="shared" si="1"/>
        <v>272</v>
      </c>
      <c r="R26" s="312"/>
    </row>
    <row r="27" spans="1:18" ht="24.95" customHeight="1" x14ac:dyDescent="0.25">
      <c r="A27" s="381"/>
      <c r="B27" s="312"/>
      <c r="C27" s="312"/>
      <c r="D27" s="142" t="s">
        <v>18</v>
      </c>
      <c r="E27" s="142" t="s">
        <v>404</v>
      </c>
      <c r="F27" s="142" t="s">
        <v>534</v>
      </c>
      <c r="G27" s="22">
        <v>850</v>
      </c>
      <c r="H27" s="288"/>
      <c r="I27" s="288"/>
      <c r="J27" s="288"/>
      <c r="K27" s="288">
        <v>10.1</v>
      </c>
      <c r="L27" s="288"/>
      <c r="M27" s="288">
        <v>0.1</v>
      </c>
      <c r="N27" s="288"/>
      <c r="O27" s="288"/>
      <c r="P27" s="286">
        <f t="shared" si="0"/>
        <v>0</v>
      </c>
      <c r="Q27" s="286">
        <f t="shared" si="1"/>
        <v>10.199999999999999</v>
      </c>
      <c r="R27" s="312"/>
    </row>
    <row r="28" spans="1:18" ht="24.95" customHeight="1" x14ac:dyDescent="0.25">
      <c r="A28" s="381"/>
      <c r="B28" s="312"/>
      <c r="C28" s="312"/>
      <c r="D28" s="142" t="s">
        <v>18</v>
      </c>
      <c r="E28" s="142" t="s">
        <v>404</v>
      </c>
      <c r="F28" s="142" t="s">
        <v>538</v>
      </c>
      <c r="G28" s="22">
        <v>110</v>
      </c>
      <c r="H28" s="288"/>
      <c r="I28" s="288"/>
      <c r="J28" s="288"/>
      <c r="K28" s="288"/>
      <c r="L28" s="288">
        <v>164.2</v>
      </c>
      <c r="M28" s="288"/>
      <c r="N28" s="288"/>
      <c r="O28" s="288"/>
      <c r="P28" s="286">
        <f t="shared" si="0"/>
        <v>0</v>
      </c>
      <c r="Q28" s="286">
        <f t="shared" si="1"/>
        <v>164.2</v>
      </c>
      <c r="R28" s="312"/>
    </row>
    <row r="29" spans="1:18" ht="24.95" customHeight="1" x14ac:dyDescent="0.25">
      <c r="A29" s="381"/>
      <c r="B29" s="312"/>
      <c r="C29" s="312"/>
      <c r="D29" s="142" t="s">
        <v>18</v>
      </c>
      <c r="E29" s="142" t="s">
        <v>404</v>
      </c>
      <c r="F29" s="142" t="s">
        <v>546</v>
      </c>
      <c r="G29" s="22">
        <v>110</v>
      </c>
      <c r="H29" s="288">
        <v>0</v>
      </c>
      <c r="I29" s="288">
        <v>0</v>
      </c>
      <c r="J29" s="288">
        <v>0</v>
      </c>
      <c r="K29" s="288">
        <v>210.1</v>
      </c>
      <c r="L29" s="288"/>
      <c r="M29" s="288">
        <v>0</v>
      </c>
      <c r="N29" s="288">
        <v>0</v>
      </c>
      <c r="O29" s="288">
        <v>0</v>
      </c>
      <c r="P29" s="286">
        <f t="shared" si="0"/>
        <v>0</v>
      </c>
      <c r="Q29" s="286">
        <f t="shared" si="1"/>
        <v>210.1</v>
      </c>
      <c r="R29" s="312"/>
    </row>
    <row r="30" spans="1:18" ht="48.6" customHeight="1" x14ac:dyDescent="0.25">
      <c r="A30" s="391" t="s">
        <v>547</v>
      </c>
      <c r="B30" s="300" t="s">
        <v>548</v>
      </c>
      <c r="C30" s="300" t="s">
        <v>549</v>
      </c>
      <c r="D30" s="142" t="s">
        <v>18</v>
      </c>
      <c r="E30" s="142" t="s">
        <v>404</v>
      </c>
      <c r="F30" s="142" t="s">
        <v>534</v>
      </c>
      <c r="G30" s="22">
        <v>110</v>
      </c>
      <c r="H30" s="288"/>
      <c r="I30" s="288"/>
      <c r="J30" s="288"/>
      <c r="K30" s="288"/>
      <c r="L30" s="288"/>
      <c r="M30" s="288">
        <v>3490.5</v>
      </c>
      <c r="N30" s="288"/>
      <c r="O30" s="288"/>
      <c r="P30" s="286">
        <f t="shared" si="0"/>
        <v>0</v>
      </c>
      <c r="Q30" s="286">
        <f t="shared" si="1"/>
        <v>3490.5</v>
      </c>
      <c r="R30" s="312"/>
    </row>
    <row r="31" spans="1:18" ht="24.95" customHeight="1" x14ac:dyDescent="0.25">
      <c r="A31" s="484"/>
      <c r="B31" s="301"/>
      <c r="C31" s="301"/>
      <c r="D31" s="142" t="s">
        <v>18</v>
      </c>
      <c r="E31" s="142" t="s">
        <v>404</v>
      </c>
      <c r="F31" s="142" t="s">
        <v>534</v>
      </c>
      <c r="G31" s="22">
        <v>240</v>
      </c>
      <c r="H31" s="288"/>
      <c r="I31" s="288"/>
      <c r="J31" s="288"/>
      <c r="K31" s="288"/>
      <c r="L31" s="288"/>
      <c r="M31" s="288">
        <v>1954.2</v>
      </c>
      <c r="N31" s="288"/>
      <c r="O31" s="288"/>
      <c r="P31" s="286">
        <f t="shared" si="0"/>
        <v>0</v>
      </c>
      <c r="Q31" s="286">
        <f t="shared" si="1"/>
        <v>1954.2</v>
      </c>
      <c r="R31" s="312"/>
    </row>
    <row r="32" spans="1:18" ht="24.95" customHeight="1" x14ac:dyDescent="0.25">
      <c r="A32" s="484"/>
      <c r="B32" s="301"/>
      <c r="C32" s="301"/>
      <c r="D32" s="142" t="s">
        <v>18</v>
      </c>
      <c r="E32" s="142" t="s">
        <v>404</v>
      </c>
      <c r="F32" s="142" t="s">
        <v>534</v>
      </c>
      <c r="G32" s="22">
        <v>320</v>
      </c>
      <c r="H32" s="288"/>
      <c r="I32" s="288"/>
      <c r="J32" s="288"/>
      <c r="K32" s="288"/>
      <c r="L32" s="288"/>
      <c r="M32" s="288">
        <v>310.10000000000002</v>
      </c>
      <c r="N32" s="288"/>
      <c r="O32" s="288"/>
      <c r="P32" s="286">
        <f t="shared" si="0"/>
        <v>0</v>
      </c>
      <c r="Q32" s="286">
        <f t="shared" si="1"/>
        <v>310.10000000000002</v>
      </c>
      <c r="R32" s="312"/>
    </row>
    <row r="33" spans="1:18" ht="24.95" customHeight="1" x14ac:dyDescent="0.25">
      <c r="A33" s="484"/>
      <c r="B33" s="301"/>
      <c r="C33" s="301"/>
      <c r="D33" s="142" t="s">
        <v>18</v>
      </c>
      <c r="E33" s="142" t="s">
        <v>404</v>
      </c>
      <c r="F33" s="142" t="s">
        <v>534</v>
      </c>
      <c r="G33" s="22">
        <v>850</v>
      </c>
      <c r="H33" s="288"/>
      <c r="I33" s="288"/>
      <c r="J33" s="288"/>
      <c r="K33" s="288"/>
      <c r="L33" s="288"/>
      <c r="M33" s="288">
        <v>28</v>
      </c>
      <c r="N33" s="288"/>
      <c r="O33" s="288"/>
      <c r="P33" s="286">
        <f t="shared" si="0"/>
        <v>0</v>
      </c>
      <c r="Q33" s="286">
        <f t="shared" si="1"/>
        <v>28</v>
      </c>
      <c r="R33" s="312"/>
    </row>
    <row r="34" spans="1:18" ht="24.95" customHeight="1" x14ac:dyDescent="0.25">
      <c r="A34" s="392"/>
      <c r="B34" s="319"/>
      <c r="C34" s="319"/>
      <c r="D34" s="142" t="s">
        <v>18</v>
      </c>
      <c r="E34" s="142" t="s">
        <v>404</v>
      </c>
      <c r="F34" s="142" t="s">
        <v>540</v>
      </c>
      <c r="G34" s="22">
        <v>110</v>
      </c>
      <c r="H34" s="288"/>
      <c r="I34" s="288"/>
      <c r="J34" s="288"/>
      <c r="K34" s="288"/>
      <c r="L34" s="288"/>
      <c r="M34" s="288">
        <v>1630.9</v>
      </c>
      <c r="N34" s="288"/>
      <c r="O34" s="288"/>
      <c r="P34" s="286">
        <f t="shared" si="0"/>
        <v>0</v>
      </c>
      <c r="Q34" s="286">
        <f t="shared" si="1"/>
        <v>1630.9</v>
      </c>
      <c r="R34" s="312"/>
    </row>
    <row r="35" spans="1:18" ht="24.95" customHeight="1" x14ac:dyDescent="0.25">
      <c r="A35" s="483" t="s">
        <v>318</v>
      </c>
      <c r="B35" s="483"/>
      <c r="C35" s="6"/>
      <c r="D35" s="142"/>
      <c r="E35" s="142"/>
      <c r="F35" s="160"/>
      <c r="G35" s="142"/>
      <c r="H35" s="288">
        <f t="shared" ref="H35:N35" si="2">SUM(H7:H29)</f>
        <v>19536.699999999997</v>
      </c>
      <c r="I35" s="288">
        <f t="shared" si="2"/>
        <v>21029.500000000004</v>
      </c>
      <c r="J35" s="288">
        <f t="shared" si="2"/>
        <v>21804.799999999996</v>
      </c>
      <c r="K35" s="288">
        <f t="shared" si="2"/>
        <v>23513.399999999994</v>
      </c>
      <c r="L35" s="288">
        <f>SUM(L7:L29)</f>
        <v>24124.210000000003</v>
      </c>
      <c r="M35" s="288">
        <f>SUM(M7:M34)</f>
        <v>30612.899999999998</v>
      </c>
      <c r="N35" s="288">
        <f t="shared" si="2"/>
        <v>22357.600000000002</v>
      </c>
      <c r="O35" s="288">
        <f>SUM(O7:O29)</f>
        <v>22357.600000000002</v>
      </c>
      <c r="P35" s="286">
        <f t="shared" si="0"/>
        <v>22357.600000000002</v>
      </c>
      <c r="Q35" s="286">
        <f t="shared" si="1"/>
        <v>207694.31000000003</v>
      </c>
      <c r="R35" s="312"/>
    </row>
    <row r="36" spans="1:18" ht="35.1" customHeight="1" x14ac:dyDescent="0.25">
      <c r="A36" s="407" t="s">
        <v>518</v>
      </c>
      <c r="B36" s="407"/>
      <c r="C36" s="407"/>
      <c r="D36" s="407"/>
      <c r="E36" s="407"/>
      <c r="F36" s="407"/>
      <c r="G36" s="407"/>
      <c r="H36" s="407"/>
      <c r="I36" s="407"/>
      <c r="J36" s="407"/>
      <c r="K36" s="407"/>
      <c r="L36" s="407"/>
      <c r="M36" s="407"/>
      <c r="N36" s="407"/>
      <c r="O36" s="407"/>
      <c r="P36" s="407"/>
      <c r="Q36" s="407"/>
      <c r="R36" s="407"/>
    </row>
    <row r="37" spans="1:18" ht="24.95" customHeight="1" x14ac:dyDescent="0.25">
      <c r="A37" s="381" t="s">
        <v>550</v>
      </c>
      <c r="B37" s="481" t="s">
        <v>551</v>
      </c>
      <c r="C37" s="312" t="s">
        <v>552</v>
      </c>
      <c r="D37" s="442" t="s">
        <v>18</v>
      </c>
      <c r="E37" s="441" t="s">
        <v>404</v>
      </c>
      <c r="F37" s="142" t="s">
        <v>553</v>
      </c>
      <c r="G37" s="6">
        <v>120</v>
      </c>
      <c r="H37" s="288">
        <v>817.5</v>
      </c>
      <c r="I37" s="288">
        <v>841.6</v>
      </c>
      <c r="J37" s="288">
        <v>858.7</v>
      </c>
      <c r="K37" s="288">
        <v>858.7</v>
      </c>
      <c r="L37" s="288">
        <v>1430.7</v>
      </c>
      <c r="M37" s="288">
        <v>1607.5</v>
      </c>
      <c r="N37" s="288">
        <v>1607.5</v>
      </c>
      <c r="O37" s="288">
        <v>1607.5</v>
      </c>
      <c r="P37" s="288">
        <f>O37</f>
        <v>1607.5</v>
      </c>
      <c r="Q37" s="288">
        <f>SUM(H37:P37)</f>
        <v>11237.2</v>
      </c>
      <c r="R37" s="312" t="s">
        <v>554</v>
      </c>
    </row>
    <row r="38" spans="1:18" ht="24.95" customHeight="1" x14ac:dyDescent="0.25">
      <c r="A38" s="381"/>
      <c r="B38" s="481"/>
      <c r="C38" s="312"/>
      <c r="D38" s="442"/>
      <c r="E38" s="441"/>
      <c r="F38" s="142" t="s">
        <v>553</v>
      </c>
      <c r="G38" s="6">
        <v>850</v>
      </c>
      <c r="H38" s="288"/>
      <c r="I38" s="288"/>
      <c r="J38" s="288">
        <v>0.3</v>
      </c>
      <c r="K38" s="288"/>
      <c r="L38" s="288">
        <v>0.6</v>
      </c>
      <c r="M38" s="288">
        <v>0.6</v>
      </c>
      <c r="N38" s="288"/>
      <c r="O38" s="288"/>
      <c r="P38" s="288">
        <f t="shared" ref="P38:P46" si="3">O38</f>
        <v>0</v>
      </c>
      <c r="Q38" s="288">
        <f t="shared" ref="Q38:Q46" si="4">SUM(H38:P38)</f>
        <v>1.5</v>
      </c>
      <c r="R38" s="312"/>
    </row>
    <row r="39" spans="1:18" ht="24.95" customHeight="1" x14ac:dyDescent="0.25">
      <c r="A39" s="381"/>
      <c r="B39" s="481"/>
      <c r="C39" s="312"/>
      <c r="D39" s="442"/>
      <c r="E39" s="441"/>
      <c r="F39" s="142" t="s">
        <v>553</v>
      </c>
      <c r="G39" s="22">
        <v>244</v>
      </c>
      <c r="H39" s="288">
        <v>248</v>
      </c>
      <c r="I39" s="288">
        <v>247.9</v>
      </c>
      <c r="J39" s="288">
        <v>247.6</v>
      </c>
      <c r="K39" s="288">
        <v>247.9</v>
      </c>
      <c r="L39" s="288">
        <v>383.9</v>
      </c>
      <c r="M39" s="288">
        <v>400.9</v>
      </c>
      <c r="N39" s="288">
        <v>401.5</v>
      </c>
      <c r="O39" s="288">
        <v>401.5</v>
      </c>
      <c r="P39" s="288">
        <f t="shared" si="3"/>
        <v>401.5</v>
      </c>
      <c r="Q39" s="288">
        <f t="shared" si="4"/>
        <v>2980.7</v>
      </c>
      <c r="R39" s="312"/>
    </row>
    <row r="40" spans="1:18" ht="24.95" customHeight="1" x14ac:dyDescent="0.25">
      <c r="A40" s="381" t="s">
        <v>555</v>
      </c>
      <c r="B40" s="481" t="s">
        <v>556</v>
      </c>
      <c r="C40" s="312" t="s">
        <v>557</v>
      </c>
      <c r="D40" s="142" t="s">
        <v>20</v>
      </c>
      <c r="E40" s="142" t="s">
        <v>292</v>
      </c>
      <c r="F40" s="142" t="s">
        <v>558</v>
      </c>
      <c r="G40" s="142" t="s">
        <v>559</v>
      </c>
      <c r="H40" s="288">
        <v>2129.1999999999998</v>
      </c>
      <c r="I40" s="288">
        <v>3247.3</v>
      </c>
      <c r="J40" s="288">
        <v>9009.9</v>
      </c>
      <c r="K40" s="288">
        <v>0</v>
      </c>
      <c r="L40" s="288"/>
      <c r="M40" s="288"/>
      <c r="N40" s="288"/>
      <c r="O40" s="288"/>
      <c r="P40" s="288">
        <f t="shared" si="3"/>
        <v>0</v>
      </c>
      <c r="Q40" s="288">
        <f t="shared" si="4"/>
        <v>14386.4</v>
      </c>
      <c r="R40" s="312" t="s">
        <v>560</v>
      </c>
    </row>
    <row r="41" spans="1:18" ht="24.95" customHeight="1" x14ac:dyDescent="0.25">
      <c r="A41" s="381"/>
      <c r="B41" s="481"/>
      <c r="C41" s="312"/>
      <c r="D41" s="142" t="s">
        <v>20</v>
      </c>
      <c r="E41" s="142" t="s">
        <v>292</v>
      </c>
      <c r="F41" s="142" t="s">
        <v>561</v>
      </c>
      <c r="G41" s="142" t="s">
        <v>559</v>
      </c>
      <c r="H41" s="288">
        <v>5394</v>
      </c>
      <c r="I41" s="288">
        <v>4190.7</v>
      </c>
      <c r="J41" s="288"/>
      <c r="K41" s="288"/>
      <c r="L41" s="288"/>
      <c r="M41" s="288"/>
      <c r="N41" s="288"/>
      <c r="O41" s="288"/>
      <c r="P41" s="288">
        <f t="shared" si="3"/>
        <v>0</v>
      </c>
      <c r="Q41" s="288">
        <f t="shared" si="4"/>
        <v>9584.7000000000007</v>
      </c>
      <c r="R41" s="312"/>
    </row>
    <row r="42" spans="1:18" ht="24.95" customHeight="1" x14ac:dyDescent="0.25">
      <c r="A42" s="381"/>
      <c r="B42" s="481"/>
      <c r="C42" s="312"/>
      <c r="D42" s="142" t="s">
        <v>20</v>
      </c>
      <c r="E42" s="142" t="s">
        <v>292</v>
      </c>
      <c r="F42" s="142" t="s">
        <v>562</v>
      </c>
      <c r="G42" s="142" t="s">
        <v>559</v>
      </c>
      <c r="H42" s="288"/>
      <c r="I42" s="288"/>
      <c r="J42" s="288">
        <v>473.9</v>
      </c>
      <c r="K42" s="288">
        <f>5610+2805+765</f>
        <v>9180</v>
      </c>
      <c r="L42" s="288">
        <v>10241.9</v>
      </c>
      <c r="M42" s="288"/>
      <c r="N42" s="288">
        <v>1517.2</v>
      </c>
      <c r="O42" s="288">
        <v>1517.2</v>
      </c>
      <c r="P42" s="288">
        <f t="shared" si="3"/>
        <v>1517.2</v>
      </c>
      <c r="Q42" s="288">
        <f t="shared" si="4"/>
        <v>24447.4</v>
      </c>
      <c r="R42" s="312"/>
    </row>
    <row r="43" spans="1:18" ht="35.1" customHeight="1" x14ac:dyDescent="0.3">
      <c r="A43" s="482" t="s">
        <v>419</v>
      </c>
      <c r="B43" s="482"/>
      <c r="C43" s="289"/>
      <c r="D43" s="290"/>
      <c r="E43" s="290"/>
      <c r="F43" s="291"/>
      <c r="G43" s="290"/>
      <c r="H43" s="288">
        <f t="shared" ref="H43:N43" si="5">SUM(H37:H42)</f>
        <v>8588.7000000000007</v>
      </c>
      <c r="I43" s="288">
        <f t="shared" si="5"/>
        <v>8527.5</v>
      </c>
      <c r="J43" s="288">
        <f t="shared" si="5"/>
        <v>10590.4</v>
      </c>
      <c r="K43" s="288">
        <f t="shared" si="5"/>
        <v>10286.6</v>
      </c>
      <c r="L43" s="288">
        <f>SUM(L37:L42)</f>
        <v>12057.099999999999</v>
      </c>
      <c r="M43" s="288">
        <f t="shared" si="5"/>
        <v>2009</v>
      </c>
      <c r="N43" s="288">
        <f t="shared" si="5"/>
        <v>3526.2</v>
      </c>
      <c r="O43" s="288">
        <f>SUM(O37:O42)</f>
        <v>3526.2</v>
      </c>
      <c r="P43" s="288">
        <f t="shared" si="3"/>
        <v>3526.2</v>
      </c>
      <c r="Q43" s="288">
        <f t="shared" si="4"/>
        <v>62637.899999999987</v>
      </c>
      <c r="R43" s="292"/>
    </row>
    <row r="44" spans="1:18" s="84" customFormat="1" ht="35.1" customHeight="1" x14ac:dyDescent="0.2">
      <c r="A44" s="479" t="s">
        <v>319</v>
      </c>
      <c r="B44" s="479"/>
      <c r="C44" s="289"/>
      <c r="D44" s="290"/>
      <c r="E44" s="289"/>
      <c r="F44" s="289"/>
      <c r="G44" s="289"/>
      <c r="H44" s="288">
        <f t="shared" ref="H44:N44" si="6">H35+H43</f>
        <v>28125.399999999998</v>
      </c>
      <c r="I44" s="288">
        <f t="shared" si="6"/>
        <v>29557.000000000004</v>
      </c>
      <c r="J44" s="288">
        <f t="shared" si="6"/>
        <v>32395.199999999997</v>
      </c>
      <c r="K44" s="288">
        <f>K35+K43</f>
        <v>33799.999999999993</v>
      </c>
      <c r="L44" s="288">
        <f>L35+L43</f>
        <v>36181.31</v>
      </c>
      <c r="M44" s="288">
        <f>M35+M43</f>
        <v>32621.899999999998</v>
      </c>
      <c r="N44" s="288">
        <f t="shared" si="6"/>
        <v>25883.800000000003</v>
      </c>
      <c r="O44" s="288">
        <f>O35+O43</f>
        <v>25883.800000000003</v>
      </c>
      <c r="P44" s="288">
        <f t="shared" si="3"/>
        <v>25883.800000000003</v>
      </c>
      <c r="Q44" s="288">
        <f t="shared" si="4"/>
        <v>270332.20999999996</v>
      </c>
      <c r="R44" s="293"/>
    </row>
    <row r="45" spans="1:18" s="84" customFormat="1" ht="35.1" customHeight="1" x14ac:dyDescent="0.2">
      <c r="A45" s="479" t="s">
        <v>320</v>
      </c>
      <c r="B45" s="479"/>
      <c r="C45" s="289"/>
      <c r="D45" s="290"/>
      <c r="E45" s="289"/>
      <c r="F45" s="289"/>
      <c r="G45" s="289"/>
      <c r="H45" s="288">
        <f>H43</f>
        <v>8588.7000000000007</v>
      </c>
      <c r="I45" s="288">
        <f>I43</f>
        <v>8527.5</v>
      </c>
      <c r="J45" s="288">
        <f>J43</f>
        <v>10590.4</v>
      </c>
      <c r="K45" s="288">
        <f>K43</f>
        <v>10286.6</v>
      </c>
      <c r="L45" s="288">
        <f>L43+L28+L13+L12+L15+L11</f>
        <v>12950.499999999998</v>
      </c>
      <c r="M45" s="288">
        <f>M43+M10</f>
        <v>2045.4</v>
      </c>
      <c r="N45" s="288">
        <f>N43</f>
        <v>3526.2</v>
      </c>
      <c r="O45" s="288">
        <f>O43</f>
        <v>3526.2</v>
      </c>
      <c r="P45" s="288">
        <f t="shared" si="3"/>
        <v>3526.2</v>
      </c>
      <c r="Q45" s="288">
        <f t="shared" si="4"/>
        <v>63567.69999999999</v>
      </c>
      <c r="R45" s="293"/>
    </row>
    <row r="46" spans="1:18" s="84" customFormat="1" ht="35.1" customHeight="1" x14ac:dyDescent="0.2">
      <c r="A46" s="479" t="s">
        <v>321</v>
      </c>
      <c r="B46" s="479"/>
      <c r="C46" s="289"/>
      <c r="D46" s="290"/>
      <c r="E46" s="289"/>
      <c r="F46" s="289"/>
      <c r="G46" s="289"/>
      <c r="H46" s="288">
        <f>H35</f>
        <v>19536.699999999997</v>
      </c>
      <c r="I46" s="288">
        <f>I35</f>
        <v>21029.500000000004</v>
      </c>
      <c r="J46" s="288">
        <f>J35</f>
        <v>21804.799999999996</v>
      </c>
      <c r="K46" s="288">
        <f>K35</f>
        <v>23513.399999999994</v>
      </c>
      <c r="L46" s="288">
        <f>L7+L8+L14+L16+L17+L18+L19+L20+L21+L22+L25+L26+L9</f>
        <v>23230.81</v>
      </c>
      <c r="M46" s="288">
        <f>M35-M10</f>
        <v>30576.499999999996</v>
      </c>
      <c r="N46" s="288">
        <f>N35</f>
        <v>22357.600000000002</v>
      </c>
      <c r="O46" s="288">
        <f>O35</f>
        <v>22357.600000000002</v>
      </c>
      <c r="P46" s="288">
        <f t="shared" si="3"/>
        <v>22357.600000000002</v>
      </c>
      <c r="Q46" s="288">
        <f t="shared" si="4"/>
        <v>206764.51</v>
      </c>
      <c r="R46" s="293"/>
    </row>
    <row r="47" spans="1:18" s="183" customFormat="1" ht="56.25" customHeight="1" x14ac:dyDescent="0.3">
      <c r="A47" s="480" t="s">
        <v>33</v>
      </c>
      <c r="B47" s="480"/>
      <c r="C47" s="480"/>
      <c r="D47" s="294"/>
      <c r="E47" s="294"/>
      <c r="F47" s="294"/>
      <c r="G47" s="294"/>
      <c r="H47" s="294"/>
      <c r="I47" s="295"/>
      <c r="J47" s="296"/>
      <c r="K47" s="297"/>
      <c r="L47" s="298"/>
      <c r="M47" s="296"/>
      <c r="N47" s="296"/>
      <c r="O47" s="296"/>
      <c r="P47" s="296"/>
      <c r="Q47" s="296"/>
      <c r="R47" s="299" t="s">
        <v>34</v>
      </c>
    </row>
    <row r="48" spans="1:18" x14ac:dyDescent="0.25">
      <c r="A48" s="168"/>
      <c r="B48" s="169"/>
      <c r="C48" s="170"/>
      <c r="D48" s="170"/>
      <c r="E48" s="170"/>
      <c r="F48" s="170"/>
      <c r="G48" s="170"/>
      <c r="H48" s="170"/>
      <c r="L48" s="36"/>
    </row>
    <row r="49" spans="1:9" x14ac:dyDescent="0.25">
      <c r="A49" s="168"/>
      <c r="B49" s="169"/>
      <c r="C49" s="170"/>
      <c r="D49" s="170"/>
      <c r="E49" s="170"/>
      <c r="F49" s="170"/>
      <c r="G49" s="170"/>
      <c r="H49" s="170"/>
    </row>
    <row r="50" spans="1:9" x14ac:dyDescent="0.25">
      <c r="A50" s="168"/>
      <c r="B50" s="169"/>
      <c r="C50" s="170"/>
      <c r="D50" s="170"/>
      <c r="E50" s="170"/>
      <c r="F50" s="170"/>
      <c r="G50" s="170"/>
      <c r="H50" s="170"/>
      <c r="I50" s="34"/>
    </row>
    <row r="51" spans="1:9" x14ac:dyDescent="0.25">
      <c r="A51" s="168"/>
      <c r="B51" s="169"/>
      <c r="C51" s="170"/>
      <c r="D51" s="170"/>
      <c r="E51" s="170"/>
      <c r="F51" s="170"/>
      <c r="G51" s="170"/>
      <c r="H51" s="170"/>
    </row>
    <row r="52" spans="1:9" x14ac:dyDescent="0.25">
      <c r="A52" s="168"/>
      <c r="B52" s="169"/>
      <c r="C52" s="170"/>
      <c r="D52" s="170"/>
      <c r="E52" s="170"/>
      <c r="F52" s="170"/>
      <c r="G52" s="170"/>
      <c r="H52" s="170"/>
    </row>
    <row r="53" spans="1:9" x14ac:dyDescent="0.25">
      <c r="A53" s="168"/>
      <c r="B53" s="169"/>
      <c r="C53" s="170"/>
      <c r="D53" s="170"/>
      <c r="E53" s="170"/>
      <c r="F53" s="170"/>
      <c r="G53" s="170"/>
      <c r="H53" s="170"/>
    </row>
    <row r="54" spans="1:9" x14ac:dyDescent="0.25">
      <c r="A54" s="168"/>
      <c r="B54" s="169"/>
      <c r="C54" s="170"/>
      <c r="D54" s="170"/>
      <c r="E54" s="170"/>
      <c r="F54" s="170"/>
      <c r="G54" s="170"/>
      <c r="H54" s="170"/>
    </row>
    <row r="55" spans="1:9" x14ac:dyDescent="0.25">
      <c r="A55" s="168"/>
      <c r="B55" s="169"/>
      <c r="C55" s="170"/>
      <c r="D55" s="170"/>
      <c r="E55" s="170"/>
      <c r="F55" s="170"/>
      <c r="G55" s="170"/>
      <c r="H55" s="170"/>
    </row>
    <row r="56" spans="1:9" x14ac:dyDescent="0.25">
      <c r="A56" s="168"/>
      <c r="B56" s="169"/>
      <c r="C56" s="170"/>
      <c r="D56" s="170"/>
      <c r="E56" s="170"/>
      <c r="F56" s="170"/>
      <c r="G56" s="170"/>
      <c r="H56" s="170"/>
    </row>
    <row r="57" spans="1:9" x14ac:dyDescent="0.25">
      <c r="A57" s="168"/>
      <c r="B57" s="169"/>
      <c r="C57" s="170"/>
      <c r="D57" s="170"/>
      <c r="E57" s="170"/>
      <c r="F57" s="170"/>
      <c r="G57" s="170"/>
      <c r="H57" s="170"/>
    </row>
    <row r="58" spans="1:9" x14ac:dyDescent="0.25">
      <c r="A58" s="168"/>
      <c r="B58" s="169"/>
      <c r="C58" s="170"/>
      <c r="D58" s="170"/>
      <c r="E58" s="170"/>
      <c r="F58" s="170"/>
      <c r="G58" s="170"/>
      <c r="H58" s="170"/>
    </row>
    <row r="59" spans="1:9" x14ac:dyDescent="0.25">
      <c r="A59" s="168"/>
      <c r="B59" s="169"/>
      <c r="C59" s="170"/>
      <c r="D59" s="170"/>
      <c r="E59" s="170"/>
      <c r="F59" s="170"/>
      <c r="G59" s="170"/>
      <c r="H59" s="170"/>
    </row>
    <row r="60" spans="1:9" x14ac:dyDescent="0.25">
      <c r="A60" s="168"/>
      <c r="B60" s="169"/>
      <c r="C60" s="170"/>
      <c r="D60" s="170"/>
      <c r="E60" s="170"/>
      <c r="F60" s="170"/>
      <c r="G60" s="170"/>
      <c r="H60" s="170"/>
    </row>
    <row r="61" spans="1:9" x14ac:dyDescent="0.25">
      <c r="A61" s="168"/>
      <c r="B61" s="169"/>
      <c r="C61" s="170"/>
      <c r="D61" s="170"/>
      <c r="E61" s="170"/>
      <c r="F61" s="170"/>
      <c r="G61" s="170"/>
      <c r="H61" s="170"/>
    </row>
    <row r="62" spans="1:9" x14ac:dyDescent="0.25">
      <c r="A62" s="168"/>
      <c r="B62" s="169"/>
      <c r="C62" s="170"/>
      <c r="D62" s="170"/>
      <c r="E62" s="170"/>
      <c r="F62" s="170"/>
      <c r="G62" s="170"/>
      <c r="H62" s="170"/>
    </row>
    <row r="63" spans="1:9" x14ac:dyDescent="0.25">
      <c r="A63" s="168"/>
      <c r="B63" s="169"/>
      <c r="C63" s="170"/>
      <c r="D63" s="170"/>
      <c r="E63" s="170"/>
      <c r="F63" s="170"/>
      <c r="G63" s="170"/>
      <c r="H63" s="170"/>
    </row>
    <row r="64" spans="1:9" x14ac:dyDescent="0.25">
      <c r="A64" s="168"/>
      <c r="B64" s="169"/>
      <c r="C64" s="170"/>
      <c r="D64" s="170"/>
      <c r="E64" s="170"/>
      <c r="F64" s="170"/>
      <c r="G64" s="170"/>
      <c r="H64" s="170"/>
    </row>
    <row r="65" spans="1:8" x14ac:dyDescent="0.25">
      <c r="A65" s="168"/>
      <c r="B65" s="169"/>
      <c r="C65" s="170"/>
      <c r="D65" s="170"/>
      <c r="E65" s="170"/>
      <c r="F65" s="170"/>
      <c r="G65" s="170"/>
      <c r="H65" s="170"/>
    </row>
    <row r="66" spans="1:8" x14ac:dyDescent="0.25">
      <c r="A66" s="168"/>
      <c r="B66" s="169"/>
      <c r="C66" s="170"/>
      <c r="D66" s="170"/>
      <c r="E66" s="170"/>
      <c r="F66" s="170"/>
      <c r="G66" s="170"/>
      <c r="H66" s="170"/>
    </row>
    <row r="67" spans="1:8" x14ac:dyDescent="0.25">
      <c r="A67" s="168"/>
      <c r="B67" s="169"/>
      <c r="C67" s="170"/>
      <c r="D67" s="170"/>
      <c r="E67" s="170"/>
      <c r="F67" s="170"/>
      <c r="G67" s="170"/>
      <c r="H67" s="170"/>
    </row>
    <row r="68" spans="1:8" x14ac:dyDescent="0.25">
      <c r="A68" s="168"/>
      <c r="B68" s="169"/>
      <c r="C68" s="170"/>
      <c r="D68" s="170"/>
      <c r="E68" s="170"/>
      <c r="F68" s="170"/>
      <c r="G68" s="170"/>
      <c r="H68" s="170"/>
    </row>
    <row r="69" spans="1:8" x14ac:dyDescent="0.25">
      <c r="A69" s="168"/>
      <c r="B69" s="169"/>
      <c r="C69" s="170"/>
      <c r="D69" s="170"/>
      <c r="E69" s="170"/>
      <c r="F69" s="170"/>
      <c r="G69" s="170"/>
      <c r="H69" s="170"/>
    </row>
    <row r="70" spans="1:8" x14ac:dyDescent="0.25">
      <c r="A70" s="168"/>
      <c r="B70" s="169"/>
      <c r="C70" s="170"/>
      <c r="D70" s="170"/>
      <c r="E70" s="170"/>
      <c r="F70" s="170"/>
      <c r="G70" s="170"/>
      <c r="H70" s="170"/>
    </row>
    <row r="71" spans="1:8" x14ac:dyDescent="0.25">
      <c r="A71" s="168"/>
      <c r="B71" s="169"/>
      <c r="C71" s="170"/>
      <c r="D71" s="170"/>
      <c r="E71" s="170"/>
      <c r="F71" s="170"/>
      <c r="G71" s="170"/>
      <c r="H71" s="170"/>
    </row>
    <row r="72" spans="1:8" x14ac:dyDescent="0.25">
      <c r="A72" s="168"/>
      <c r="B72" s="169"/>
      <c r="C72" s="170"/>
      <c r="D72" s="170"/>
      <c r="E72" s="170"/>
      <c r="F72" s="170"/>
      <c r="G72" s="170"/>
      <c r="H72" s="170"/>
    </row>
    <row r="73" spans="1:8" x14ac:dyDescent="0.25">
      <c r="A73" s="168"/>
      <c r="B73" s="169"/>
      <c r="C73" s="170"/>
      <c r="D73" s="170"/>
      <c r="E73" s="170"/>
      <c r="F73" s="170"/>
      <c r="G73" s="170"/>
      <c r="H73" s="170"/>
    </row>
    <row r="74" spans="1:8" x14ac:dyDescent="0.25">
      <c r="A74" s="168"/>
      <c r="B74" s="169"/>
      <c r="C74" s="170"/>
      <c r="D74" s="170"/>
      <c r="E74" s="170"/>
      <c r="F74" s="170"/>
      <c r="G74" s="170"/>
      <c r="H74" s="170"/>
    </row>
    <row r="75" spans="1:8" x14ac:dyDescent="0.25">
      <c r="A75" s="168"/>
      <c r="B75" s="169"/>
      <c r="C75" s="170"/>
      <c r="D75" s="170"/>
      <c r="E75" s="170"/>
      <c r="F75" s="170"/>
      <c r="G75" s="170"/>
      <c r="H75" s="170"/>
    </row>
    <row r="76" spans="1:8" x14ac:dyDescent="0.25">
      <c r="A76" s="168"/>
      <c r="B76" s="169"/>
      <c r="C76" s="170"/>
      <c r="D76" s="170"/>
      <c r="E76" s="170"/>
      <c r="F76" s="170"/>
      <c r="G76" s="170"/>
      <c r="H76" s="170"/>
    </row>
    <row r="77" spans="1:8" x14ac:dyDescent="0.25">
      <c r="A77" s="168"/>
      <c r="B77" s="169"/>
      <c r="C77" s="170"/>
      <c r="D77" s="170"/>
      <c r="E77" s="170"/>
      <c r="F77" s="170"/>
      <c r="G77" s="170"/>
      <c r="H77" s="170"/>
    </row>
    <row r="78" spans="1:8" x14ac:dyDescent="0.25">
      <c r="A78" s="168"/>
      <c r="B78" s="169"/>
      <c r="C78" s="170"/>
      <c r="D78" s="170"/>
      <c r="E78" s="170"/>
      <c r="F78" s="170"/>
      <c r="G78" s="170"/>
      <c r="H78" s="170"/>
    </row>
    <row r="79" spans="1:8" x14ac:dyDescent="0.25">
      <c r="A79" s="168"/>
      <c r="B79" s="169"/>
      <c r="C79" s="170"/>
      <c r="D79" s="170"/>
      <c r="E79" s="170"/>
      <c r="F79" s="170"/>
      <c r="G79" s="170"/>
      <c r="H79" s="170"/>
    </row>
    <row r="80" spans="1:8" x14ac:dyDescent="0.25">
      <c r="A80" s="168"/>
      <c r="B80" s="169"/>
      <c r="C80" s="170"/>
      <c r="D80" s="170"/>
      <c r="E80" s="170"/>
      <c r="F80" s="170"/>
      <c r="G80" s="170"/>
      <c r="H80" s="170"/>
    </row>
    <row r="81" spans="1:8" x14ac:dyDescent="0.25">
      <c r="A81" s="168"/>
      <c r="B81" s="169"/>
      <c r="C81" s="170"/>
      <c r="D81" s="170"/>
      <c r="E81" s="170"/>
      <c r="F81" s="170"/>
      <c r="G81" s="170"/>
      <c r="H81" s="170"/>
    </row>
    <row r="82" spans="1:8" x14ac:dyDescent="0.25">
      <c r="A82" s="168"/>
      <c r="B82" s="169"/>
      <c r="C82" s="170"/>
      <c r="D82" s="170"/>
      <c r="E82" s="170"/>
      <c r="F82" s="170"/>
      <c r="G82" s="170"/>
      <c r="H82" s="170"/>
    </row>
    <row r="83" spans="1:8" x14ac:dyDescent="0.25">
      <c r="A83" s="168"/>
      <c r="B83" s="169"/>
      <c r="C83" s="170"/>
      <c r="D83" s="170"/>
      <c r="E83" s="170"/>
      <c r="F83" s="170"/>
      <c r="G83" s="170"/>
      <c r="H83" s="170"/>
    </row>
    <row r="84" spans="1:8" x14ac:dyDescent="0.25">
      <c r="A84" s="168"/>
      <c r="B84" s="169"/>
      <c r="C84" s="170"/>
      <c r="D84" s="170"/>
      <c r="E84" s="170"/>
      <c r="F84" s="170"/>
      <c r="G84" s="170"/>
      <c r="H84" s="170"/>
    </row>
  </sheetData>
  <mergeCells count="43">
    <mergeCell ref="I1:J1"/>
    <mergeCell ref="Q1:R1"/>
    <mergeCell ref="A2:R2"/>
    <mergeCell ref="A3:A4"/>
    <mergeCell ref="B3:B4"/>
    <mergeCell ref="C3:C4"/>
    <mergeCell ref="D3:G3"/>
    <mergeCell ref="H3:Q3"/>
    <mergeCell ref="R3:R4"/>
    <mergeCell ref="A5:R5"/>
    <mergeCell ref="A6:R6"/>
    <mergeCell ref="A7:A13"/>
    <mergeCell ref="B7:B13"/>
    <mergeCell ref="C7:C13"/>
    <mergeCell ref="R7:R8"/>
    <mergeCell ref="A15:A19"/>
    <mergeCell ref="B15:B19"/>
    <mergeCell ref="C15:C19"/>
    <mergeCell ref="R15:R19"/>
    <mergeCell ref="A20:A29"/>
    <mergeCell ref="B20:B29"/>
    <mergeCell ref="C20:C29"/>
    <mergeCell ref="R20:R35"/>
    <mergeCell ref="A30:A34"/>
    <mergeCell ref="B30:B34"/>
    <mergeCell ref="R40:R42"/>
    <mergeCell ref="A43:B43"/>
    <mergeCell ref="A44:B44"/>
    <mergeCell ref="C30:C34"/>
    <mergeCell ref="A35:B35"/>
    <mergeCell ref="A36:R36"/>
    <mergeCell ref="A37:A39"/>
    <mergeCell ref="B37:B39"/>
    <mergeCell ref="C37:C39"/>
    <mergeCell ref="D37:D39"/>
    <mergeCell ref="E37:E39"/>
    <mergeCell ref="R37:R39"/>
    <mergeCell ref="A45:B45"/>
    <mergeCell ref="A46:B46"/>
    <mergeCell ref="A47:C47"/>
    <mergeCell ref="A40:A42"/>
    <mergeCell ref="B40:B42"/>
    <mergeCell ref="C40:C42"/>
  </mergeCells>
  <pageMargins left="0.31496062992125984" right="0.31496062992125984" top="0.15748031496062992" bottom="0.15748031496062992" header="0" footer="0"/>
  <pageSetup paperSize="9" scale="39" orientation="landscape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  <pageSetUpPr fitToPage="1"/>
  </sheetPr>
  <dimension ref="A1:Q17"/>
  <sheetViews>
    <sheetView view="pageBreakPreview" zoomScale="79" zoomScaleNormal="100" zoomScaleSheetLayoutView="79" workbookViewId="0">
      <selection activeCell="A2" sqref="A2:Q2"/>
    </sheetView>
  </sheetViews>
  <sheetFormatPr defaultRowHeight="15.75" x14ac:dyDescent="0.25"/>
  <cols>
    <col min="1" max="1" width="5.140625" style="28" customWidth="1"/>
    <col min="2" max="2" width="57.42578125" style="1" customWidth="1"/>
    <col min="3" max="3" width="11.7109375" style="1" customWidth="1"/>
    <col min="4" max="4" width="10.42578125" style="1" hidden="1" customWidth="1"/>
    <col min="5" max="7" width="10.5703125" style="1" hidden="1" customWidth="1"/>
    <col min="8" max="15" width="10.5703125" style="1" customWidth="1"/>
    <col min="16" max="16" width="10.42578125" style="1" customWidth="1"/>
    <col min="17" max="17" width="11.140625" style="1" customWidth="1"/>
    <col min="18" max="16384" width="9.140625" style="1"/>
  </cols>
  <sheetData>
    <row r="1" spans="1:17" ht="78" customHeight="1" x14ac:dyDescent="0.25">
      <c r="K1" s="109"/>
      <c r="L1" s="109"/>
      <c r="M1" s="358" t="s">
        <v>234</v>
      </c>
      <c r="N1" s="358"/>
      <c r="O1" s="358"/>
      <c r="P1" s="358"/>
      <c r="Q1" s="358"/>
    </row>
    <row r="2" spans="1:17" ht="34.5" customHeight="1" x14ac:dyDescent="0.25">
      <c r="A2" s="359" t="s">
        <v>235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</row>
    <row r="3" spans="1:17" ht="17.25" customHeight="1" x14ac:dyDescent="0.25">
      <c r="A3" s="315" t="s">
        <v>88</v>
      </c>
      <c r="B3" s="315" t="s">
        <v>236</v>
      </c>
      <c r="C3" s="315" t="s">
        <v>90</v>
      </c>
      <c r="D3" s="305" t="s">
        <v>237</v>
      </c>
      <c r="E3" s="305" t="s">
        <v>93</v>
      </c>
      <c r="F3" s="305" t="s">
        <v>238</v>
      </c>
      <c r="G3" s="300" t="s">
        <v>239</v>
      </c>
      <c r="H3" s="306" t="s">
        <v>41</v>
      </c>
      <c r="I3" s="349" t="s">
        <v>240</v>
      </c>
      <c r="J3" s="350"/>
      <c r="K3" s="349" t="s">
        <v>241</v>
      </c>
      <c r="L3" s="351"/>
      <c r="M3" s="351"/>
      <c r="N3" s="351"/>
      <c r="O3" s="351"/>
      <c r="P3" s="351"/>
      <c r="Q3" s="350"/>
    </row>
    <row r="4" spans="1:17" ht="33" customHeight="1" x14ac:dyDescent="0.25">
      <c r="A4" s="315"/>
      <c r="B4" s="315"/>
      <c r="C4" s="315"/>
      <c r="D4" s="305"/>
      <c r="E4" s="305"/>
      <c r="F4" s="305"/>
      <c r="G4" s="319"/>
      <c r="H4" s="308"/>
      <c r="I4" s="5" t="s">
        <v>42</v>
      </c>
      <c r="J4" s="5" t="s">
        <v>43</v>
      </c>
      <c r="K4" s="5" t="s">
        <v>44</v>
      </c>
      <c r="L4" s="5" t="s">
        <v>45</v>
      </c>
      <c r="M4" s="5" t="s">
        <v>46</v>
      </c>
      <c r="N4" s="5" t="s">
        <v>47</v>
      </c>
      <c r="O4" s="5" t="s">
        <v>48</v>
      </c>
      <c r="P4" s="5" t="s">
        <v>49</v>
      </c>
      <c r="Q4" s="9" t="s">
        <v>242</v>
      </c>
    </row>
    <row r="5" spans="1:17" ht="55.15" customHeight="1" x14ac:dyDescent="0.25">
      <c r="A5" s="352" t="s">
        <v>94</v>
      </c>
      <c r="B5" s="353"/>
      <c r="C5" s="353"/>
      <c r="D5" s="353"/>
      <c r="E5" s="353"/>
      <c r="F5" s="353"/>
      <c r="G5" s="353"/>
      <c r="H5" s="353"/>
      <c r="I5" s="353"/>
      <c r="J5" s="353"/>
      <c r="K5" s="353"/>
      <c r="L5" s="353"/>
      <c r="M5" s="353"/>
      <c r="N5" s="353"/>
      <c r="O5" s="353"/>
      <c r="P5" s="353"/>
      <c r="Q5" s="354"/>
    </row>
    <row r="6" spans="1:17" ht="56.25" customHeight="1" x14ac:dyDescent="0.25">
      <c r="A6" s="5">
        <v>1</v>
      </c>
      <c r="B6" s="67" t="s">
        <v>95</v>
      </c>
      <c r="C6" s="22" t="s">
        <v>96</v>
      </c>
      <c r="D6" s="110">
        <v>54.1</v>
      </c>
      <c r="E6" s="74">
        <v>2.34</v>
      </c>
      <c r="F6" s="71">
        <v>94</v>
      </c>
      <c r="G6" s="71">
        <v>94.5</v>
      </c>
      <c r="H6" s="71">
        <v>95</v>
      </c>
      <c r="I6" s="71">
        <v>95</v>
      </c>
      <c r="J6" s="71">
        <v>96</v>
      </c>
      <c r="K6" s="71">
        <v>96.2</v>
      </c>
      <c r="L6" s="71">
        <v>96.3</v>
      </c>
      <c r="M6" s="71">
        <v>96.4</v>
      </c>
      <c r="N6" s="71">
        <v>96.4</v>
      </c>
      <c r="O6" s="71">
        <v>96.5</v>
      </c>
      <c r="P6" s="71">
        <v>96.5</v>
      </c>
      <c r="Q6" s="71">
        <v>96.6</v>
      </c>
    </row>
    <row r="7" spans="1:17" ht="108" customHeight="1" x14ac:dyDescent="0.25">
      <c r="A7" s="6">
        <v>2</v>
      </c>
      <c r="B7" s="67" t="s">
        <v>100</v>
      </c>
      <c r="C7" s="22" t="s">
        <v>96</v>
      </c>
      <c r="D7" s="68" t="e">
        <f>#REF!</f>
        <v>#REF!</v>
      </c>
      <c r="E7" s="74">
        <v>60.5</v>
      </c>
      <c r="F7" s="24">
        <v>82.4</v>
      </c>
      <c r="G7" s="24">
        <v>86.6</v>
      </c>
      <c r="H7" s="24">
        <v>91.3</v>
      </c>
      <c r="I7" s="24">
        <v>100</v>
      </c>
      <c r="J7" s="24">
        <v>100</v>
      </c>
      <c r="K7" s="24">
        <v>100</v>
      </c>
      <c r="L7" s="24">
        <v>100</v>
      </c>
      <c r="M7" s="24">
        <v>100</v>
      </c>
      <c r="N7" s="24">
        <v>100</v>
      </c>
      <c r="O7" s="24">
        <v>100</v>
      </c>
      <c r="P7" s="24">
        <v>100</v>
      </c>
      <c r="Q7" s="24">
        <v>100</v>
      </c>
    </row>
    <row r="8" spans="1:17" ht="89.25" customHeight="1" x14ac:dyDescent="0.25">
      <c r="A8" s="5">
        <v>3</v>
      </c>
      <c r="B8" s="72" t="s">
        <v>103</v>
      </c>
      <c r="C8" s="68" t="s">
        <v>96</v>
      </c>
      <c r="D8" s="111">
        <v>95.6</v>
      </c>
      <c r="E8" s="112">
        <v>96.7</v>
      </c>
      <c r="F8" s="73">
        <v>98.53</v>
      </c>
      <c r="G8" s="73">
        <v>98.04</v>
      </c>
      <c r="H8" s="73">
        <v>98.53</v>
      </c>
      <c r="I8" s="73">
        <v>98.6</v>
      </c>
      <c r="J8" s="73">
        <v>98.6</v>
      </c>
      <c r="K8" s="73">
        <v>100</v>
      </c>
      <c r="L8" s="73">
        <v>100</v>
      </c>
      <c r="M8" s="73">
        <v>100</v>
      </c>
      <c r="N8" s="73">
        <v>100</v>
      </c>
      <c r="O8" s="73">
        <v>100</v>
      </c>
      <c r="P8" s="73">
        <v>100</v>
      </c>
      <c r="Q8" s="73">
        <v>100</v>
      </c>
    </row>
    <row r="9" spans="1:17" ht="85.5" customHeight="1" x14ac:dyDescent="0.25">
      <c r="A9" s="5">
        <v>4</v>
      </c>
      <c r="B9" s="67" t="s">
        <v>105</v>
      </c>
      <c r="C9" s="22" t="s">
        <v>243</v>
      </c>
      <c r="D9" s="111"/>
      <c r="E9" s="112"/>
      <c r="F9" s="75">
        <v>67</v>
      </c>
      <c r="G9" s="75">
        <v>67</v>
      </c>
      <c r="H9" s="75">
        <v>67</v>
      </c>
      <c r="I9" s="75">
        <v>83</v>
      </c>
      <c r="J9" s="75">
        <v>83</v>
      </c>
      <c r="K9" s="75">
        <v>83</v>
      </c>
      <c r="L9" s="75">
        <v>83</v>
      </c>
      <c r="M9" s="75">
        <v>83</v>
      </c>
      <c r="N9" s="75">
        <v>100</v>
      </c>
      <c r="O9" s="75">
        <v>100</v>
      </c>
      <c r="P9" s="75">
        <v>100</v>
      </c>
      <c r="Q9" s="75">
        <v>100</v>
      </c>
    </row>
    <row r="10" spans="1:17" ht="35.25" customHeight="1" x14ac:dyDescent="0.25">
      <c r="A10" s="355" t="s">
        <v>33</v>
      </c>
      <c r="B10" s="355"/>
      <c r="C10" s="355"/>
      <c r="D10" s="355"/>
      <c r="E10" s="355"/>
      <c r="F10" s="113"/>
      <c r="G10" s="55"/>
      <c r="H10" s="55"/>
      <c r="I10" s="55"/>
      <c r="J10" s="55"/>
      <c r="K10" s="55"/>
      <c r="L10" s="55"/>
      <c r="M10" s="356" t="s">
        <v>34</v>
      </c>
      <c r="N10" s="356"/>
      <c r="O10" s="356"/>
      <c r="P10" s="356"/>
      <c r="Q10" s="357"/>
    </row>
    <row r="15" spans="1:17" x14ac:dyDescent="0.25">
      <c r="D15" s="114"/>
      <c r="E15" s="114"/>
      <c r="F15" s="115"/>
      <c r="G15" s="114"/>
    </row>
    <row r="16" spans="1:17" x14ac:dyDescent="0.25">
      <c r="D16" s="116"/>
      <c r="E16" s="117"/>
      <c r="F16" s="118"/>
      <c r="G16" s="117"/>
    </row>
    <row r="17" spans="4:7" x14ac:dyDescent="0.25">
      <c r="D17" s="119"/>
      <c r="E17" s="119"/>
      <c r="F17" s="120"/>
      <c r="G17" s="119"/>
    </row>
  </sheetData>
  <mergeCells count="15">
    <mergeCell ref="M1:Q1"/>
    <mergeCell ref="A2:Q2"/>
    <mergeCell ref="A3:A4"/>
    <mergeCell ref="B3:B4"/>
    <mergeCell ref="C3:C4"/>
    <mergeCell ref="D3:D4"/>
    <mergeCell ref="E3:E4"/>
    <mergeCell ref="F3:F4"/>
    <mergeCell ref="G3:G4"/>
    <mergeCell ref="H3:H4"/>
    <mergeCell ref="I3:J3"/>
    <mergeCell ref="K3:Q3"/>
    <mergeCell ref="A5:Q5"/>
    <mergeCell ref="A10:E10"/>
    <mergeCell ref="M10:Q10"/>
  </mergeCells>
  <pageMargins left="0.55118110236220474" right="0.35433070866141736" top="0.55118110236220474" bottom="0.19685039370078741" header="0.51181102362204722" footer="0.51181102362204722"/>
  <pageSetup paperSize="9" scale="77" fitToHeight="3" orientation="landscape" useFirstPageNumber="1" r:id="rId1"/>
  <headerFooter differentFirst="1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zoomScale="70" zoomScaleNormal="70" workbookViewId="0">
      <selection activeCell="A2" sqref="A2:Q2"/>
    </sheetView>
  </sheetViews>
  <sheetFormatPr defaultColWidth="9.28515625" defaultRowHeight="15.75" x14ac:dyDescent="0.25"/>
  <cols>
    <col min="1" max="1" width="18.5703125" style="1" customWidth="1"/>
    <col min="2" max="2" width="22.28515625" style="1" customWidth="1"/>
    <col min="3" max="3" width="25.28515625" style="1" customWidth="1"/>
    <col min="4" max="7" width="9.28515625" style="1"/>
    <col min="8" max="8" width="13.7109375" style="1" customWidth="1"/>
    <col min="9" max="10" width="15.42578125" style="1" customWidth="1"/>
    <col min="11" max="11" width="15.42578125" style="35" customWidth="1"/>
    <col min="12" max="16" width="15.42578125" style="1" customWidth="1"/>
    <col min="17" max="17" width="17" style="1" customWidth="1"/>
    <col min="18" max="16384" width="9.28515625" style="1"/>
  </cols>
  <sheetData>
    <row r="1" spans="1:18" ht="58.5" customHeight="1" x14ac:dyDescent="0.25">
      <c r="J1" s="2"/>
      <c r="K1" s="3"/>
      <c r="L1" s="4"/>
      <c r="M1" s="313" t="s">
        <v>0</v>
      </c>
      <c r="N1" s="313"/>
      <c r="O1" s="313"/>
      <c r="P1" s="313"/>
      <c r="Q1" s="313"/>
    </row>
    <row r="2" spans="1:18" ht="30" customHeight="1" x14ac:dyDescent="0.25">
      <c r="A2" s="314" t="s">
        <v>1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4"/>
    </row>
    <row r="3" spans="1:18" ht="18.75" customHeight="1" x14ac:dyDescent="0.25">
      <c r="A3" s="315" t="s">
        <v>2</v>
      </c>
      <c r="B3" s="315" t="s">
        <v>3</v>
      </c>
      <c r="C3" s="315" t="s">
        <v>4</v>
      </c>
      <c r="D3" s="315" t="s">
        <v>5</v>
      </c>
      <c r="E3" s="315"/>
      <c r="F3" s="315"/>
      <c r="G3" s="315"/>
      <c r="H3" s="316" t="s">
        <v>6</v>
      </c>
      <c r="I3" s="317"/>
      <c r="J3" s="317"/>
      <c r="K3" s="317"/>
      <c r="L3" s="317"/>
      <c r="M3" s="317"/>
      <c r="N3" s="317"/>
      <c r="O3" s="317"/>
      <c r="P3" s="317"/>
      <c r="Q3" s="318"/>
    </row>
    <row r="4" spans="1:18" ht="49.5" customHeight="1" x14ac:dyDescent="0.25">
      <c r="A4" s="315"/>
      <c r="B4" s="315"/>
      <c r="C4" s="315"/>
      <c r="D4" s="5" t="s">
        <v>7</v>
      </c>
      <c r="E4" s="5" t="s">
        <v>8</v>
      </c>
      <c r="F4" s="5" t="s">
        <v>9</v>
      </c>
      <c r="G4" s="5" t="s">
        <v>10</v>
      </c>
      <c r="H4" s="5">
        <v>2014</v>
      </c>
      <c r="I4" s="5">
        <v>2015</v>
      </c>
      <c r="J4" s="5">
        <v>2016</v>
      </c>
      <c r="K4" s="6">
        <v>2017</v>
      </c>
      <c r="L4" s="5">
        <v>2018</v>
      </c>
      <c r="M4" s="5">
        <v>2019</v>
      </c>
      <c r="N4" s="5">
        <v>2020</v>
      </c>
      <c r="O4" s="5">
        <v>2021</v>
      </c>
      <c r="P4" s="7">
        <v>2022</v>
      </c>
      <c r="Q4" s="5" t="s">
        <v>11</v>
      </c>
    </row>
    <row r="5" spans="1:18" ht="48" customHeight="1" x14ac:dyDescent="0.25">
      <c r="A5" s="306" t="s">
        <v>12</v>
      </c>
      <c r="B5" s="309" t="s">
        <v>13</v>
      </c>
      <c r="C5" s="8" t="s">
        <v>14</v>
      </c>
      <c r="D5" s="9" t="s">
        <v>15</v>
      </c>
      <c r="E5" s="9" t="s">
        <v>15</v>
      </c>
      <c r="F5" s="9" t="s">
        <v>15</v>
      </c>
      <c r="G5" s="9" t="s">
        <v>15</v>
      </c>
      <c r="H5" s="10">
        <f t="shared" ref="H5:N5" si="0">H7+H8+H9+H10</f>
        <v>447829.6</v>
      </c>
      <c r="I5" s="10">
        <f t="shared" si="0"/>
        <v>473625.60000000003</v>
      </c>
      <c r="J5" s="11">
        <f>J7+J8+J9+J10</f>
        <v>511729.7</v>
      </c>
      <c r="K5" s="11">
        <f t="shared" si="0"/>
        <v>523227.99999999994</v>
      </c>
      <c r="L5" s="11">
        <f t="shared" si="0"/>
        <v>549349</v>
      </c>
      <c r="M5" s="11">
        <f>M7+M8+M9+M10</f>
        <v>576636.6</v>
      </c>
      <c r="N5" s="11">
        <f t="shared" si="0"/>
        <v>499285.2</v>
      </c>
      <c r="O5" s="11">
        <f>O7+O8+O9+O10</f>
        <v>499285.2</v>
      </c>
      <c r="P5" s="11">
        <f>O5</f>
        <v>499285.2</v>
      </c>
      <c r="Q5" s="11">
        <f>SUM(H5:P5)</f>
        <v>4580254.1000000006</v>
      </c>
    </row>
    <row r="6" spans="1:18" x14ac:dyDescent="0.25">
      <c r="A6" s="307"/>
      <c r="B6" s="310"/>
      <c r="C6" s="8" t="s">
        <v>16</v>
      </c>
      <c r="D6" s="12"/>
      <c r="E6" s="12"/>
      <c r="F6" s="12"/>
      <c r="G6" s="12"/>
      <c r="H6" s="12"/>
      <c r="I6" s="13"/>
      <c r="J6" s="13"/>
      <c r="K6" s="14"/>
      <c r="L6" s="14"/>
      <c r="M6" s="14"/>
      <c r="N6" s="14"/>
      <c r="O6" s="14"/>
      <c r="P6" s="11">
        <f t="shared" ref="P6:P26" si="1">O6</f>
        <v>0</v>
      </c>
      <c r="Q6" s="11">
        <f t="shared" ref="Q6:Q26" si="2">SUM(H6:P6)</f>
        <v>0</v>
      </c>
    </row>
    <row r="7" spans="1:18" ht="51.75" customHeight="1" x14ac:dyDescent="0.25">
      <c r="A7" s="307"/>
      <c r="B7" s="310"/>
      <c r="C7" s="8" t="s">
        <v>17</v>
      </c>
      <c r="D7" s="15" t="s">
        <v>18</v>
      </c>
      <c r="E7" s="9" t="s">
        <v>15</v>
      </c>
      <c r="F7" s="9" t="s">
        <v>15</v>
      </c>
      <c r="G7" s="9" t="s">
        <v>15</v>
      </c>
      <c r="H7" s="16">
        <f t="shared" ref="H7:O7" si="3">H13+H18+H21+H24</f>
        <v>426153.3</v>
      </c>
      <c r="I7" s="16">
        <f t="shared" si="3"/>
        <v>451251.20000000001</v>
      </c>
      <c r="J7" s="16">
        <f t="shared" si="3"/>
        <v>486929.2</v>
      </c>
      <c r="K7" s="17">
        <f t="shared" si="3"/>
        <v>498675.49999999994</v>
      </c>
      <c r="L7" s="17">
        <f t="shared" si="3"/>
        <v>523112</v>
      </c>
      <c r="M7" s="17">
        <f t="shared" si="3"/>
        <v>561075.4</v>
      </c>
      <c r="N7" s="17">
        <f t="shared" si="3"/>
        <v>482614.4</v>
      </c>
      <c r="O7" s="17">
        <f t="shared" si="3"/>
        <v>482614.4</v>
      </c>
      <c r="P7" s="11">
        <f t="shared" si="1"/>
        <v>482614.4</v>
      </c>
      <c r="Q7" s="11">
        <f t="shared" si="2"/>
        <v>4395039.8</v>
      </c>
      <c r="R7" s="18"/>
    </row>
    <row r="8" spans="1:18" ht="49.5" hidden="1" customHeight="1" x14ac:dyDescent="0.25">
      <c r="A8" s="307"/>
      <c r="B8" s="310"/>
      <c r="C8" s="19" t="s">
        <v>19</v>
      </c>
      <c r="D8" s="20" t="s">
        <v>20</v>
      </c>
      <c r="E8" s="9" t="s">
        <v>15</v>
      </c>
      <c r="F8" s="9" t="s">
        <v>15</v>
      </c>
      <c r="G8" s="9" t="s">
        <v>15</v>
      </c>
      <c r="H8" s="16"/>
      <c r="I8" s="16"/>
      <c r="J8" s="16"/>
      <c r="K8" s="17"/>
      <c r="L8" s="17"/>
      <c r="M8" s="17">
        <f>M17</f>
        <v>0</v>
      </c>
      <c r="N8" s="17"/>
      <c r="O8" s="17"/>
      <c r="P8" s="11">
        <f t="shared" si="1"/>
        <v>0</v>
      </c>
      <c r="Q8" s="11">
        <f t="shared" si="2"/>
        <v>0</v>
      </c>
    </row>
    <row r="9" spans="1:18" ht="39.950000000000003" customHeight="1" x14ac:dyDescent="0.25">
      <c r="A9" s="307"/>
      <c r="B9" s="310"/>
      <c r="C9" s="21" t="s">
        <v>21</v>
      </c>
      <c r="D9" s="15" t="s">
        <v>22</v>
      </c>
      <c r="E9" s="9" t="s">
        <v>15</v>
      </c>
      <c r="F9" s="9" t="s">
        <v>15</v>
      </c>
      <c r="G9" s="9" t="s">
        <v>15</v>
      </c>
      <c r="H9" s="16">
        <f t="shared" ref="H9:N9" si="4">H26</f>
        <v>14153.1</v>
      </c>
      <c r="I9" s="16">
        <f t="shared" si="4"/>
        <v>14936.4</v>
      </c>
      <c r="J9" s="16">
        <f t="shared" si="4"/>
        <v>15316.7</v>
      </c>
      <c r="K9" s="17">
        <f t="shared" si="4"/>
        <v>15372.5</v>
      </c>
      <c r="L9" s="17">
        <f t="shared" si="4"/>
        <v>15995.1</v>
      </c>
      <c r="M9" s="17">
        <f t="shared" si="4"/>
        <v>15561.2</v>
      </c>
      <c r="N9" s="17">
        <f t="shared" si="4"/>
        <v>15153.6</v>
      </c>
      <c r="O9" s="17">
        <f>O26</f>
        <v>15153.6</v>
      </c>
      <c r="P9" s="11">
        <f t="shared" si="1"/>
        <v>15153.6</v>
      </c>
      <c r="Q9" s="11">
        <f t="shared" si="2"/>
        <v>136795.80000000002</v>
      </c>
    </row>
    <row r="10" spans="1:18" ht="39.950000000000003" customHeight="1" x14ac:dyDescent="0.25">
      <c r="A10" s="308"/>
      <c r="B10" s="311"/>
      <c r="C10" s="21" t="s">
        <v>19</v>
      </c>
      <c r="D10" s="15" t="s">
        <v>20</v>
      </c>
      <c r="E10" s="9" t="s">
        <v>15</v>
      </c>
      <c r="F10" s="9" t="s">
        <v>15</v>
      </c>
      <c r="G10" s="9" t="s">
        <v>15</v>
      </c>
      <c r="H10" s="16">
        <f t="shared" ref="H10:N10" si="5">H25</f>
        <v>7523.2</v>
      </c>
      <c r="I10" s="16">
        <f t="shared" si="5"/>
        <v>7438</v>
      </c>
      <c r="J10" s="16">
        <f t="shared" si="5"/>
        <v>9483.7999999999993</v>
      </c>
      <c r="K10" s="17">
        <f t="shared" si="5"/>
        <v>9180</v>
      </c>
      <c r="L10" s="17">
        <f t="shared" si="5"/>
        <v>10241.9</v>
      </c>
      <c r="M10" s="17">
        <f t="shared" si="5"/>
        <v>0</v>
      </c>
      <c r="N10" s="17">
        <f t="shared" si="5"/>
        <v>1517.2</v>
      </c>
      <c r="O10" s="17">
        <f>O25</f>
        <v>1517.2</v>
      </c>
      <c r="P10" s="11">
        <f t="shared" si="1"/>
        <v>1517.2</v>
      </c>
      <c r="Q10" s="11">
        <f t="shared" si="2"/>
        <v>48418.499999999993</v>
      </c>
    </row>
    <row r="11" spans="1:18" ht="46.5" customHeight="1" x14ac:dyDescent="0.25">
      <c r="A11" s="312" t="s">
        <v>23</v>
      </c>
      <c r="B11" s="312" t="s">
        <v>24</v>
      </c>
      <c r="C11" s="21" t="s">
        <v>14</v>
      </c>
      <c r="D11" s="22" t="s">
        <v>15</v>
      </c>
      <c r="E11" s="23" t="s">
        <v>15</v>
      </c>
      <c r="F11" s="22" t="s">
        <v>15</v>
      </c>
      <c r="G11" s="24" t="s">
        <v>15</v>
      </c>
      <c r="H11" s="16">
        <f t="shared" ref="H11:O11" si="6">H13+H14</f>
        <v>198091.6</v>
      </c>
      <c r="I11" s="16">
        <f t="shared" si="6"/>
        <v>204824.6</v>
      </c>
      <c r="J11" s="16">
        <f t="shared" si="6"/>
        <v>219030.5</v>
      </c>
      <c r="K11" s="17">
        <f t="shared" si="6"/>
        <v>218633.1</v>
      </c>
      <c r="L11" s="17">
        <f t="shared" si="6"/>
        <v>229336.9</v>
      </c>
      <c r="M11" s="17">
        <f t="shared" si="6"/>
        <v>256968.1</v>
      </c>
      <c r="N11" s="17">
        <f t="shared" si="6"/>
        <v>218059.1</v>
      </c>
      <c r="O11" s="17">
        <f t="shared" si="6"/>
        <v>218059.1</v>
      </c>
      <c r="P11" s="11">
        <f t="shared" si="1"/>
        <v>218059.1</v>
      </c>
      <c r="Q11" s="11">
        <f t="shared" si="2"/>
        <v>1981062.1000000003</v>
      </c>
    </row>
    <row r="12" spans="1:18" x14ac:dyDescent="0.25">
      <c r="A12" s="312"/>
      <c r="B12" s="312"/>
      <c r="C12" s="21" t="s">
        <v>16</v>
      </c>
      <c r="D12" s="25"/>
      <c r="E12" s="26"/>
      <c r="F12" s="25"/>
      <c r="G12" s="27"/>
      <c r="H12" s="27"/>
      <c r="I12" s="16"/>
      <c r="J12" s="16"/>
      <c r="K12" s="17"/>
      <c r="L12" s="17"/>
      <c r="M12" s="17"/>
      <c r="N12" s="17"/>
      <c r="O12" s="17"/>
      <c r="P12" s="11">
        <f t="shared" si="1"/>
        <v>0</v>
      </c>
      <c r="Q12" s="11">
        <f t="shared" si="2"/>
        <v>0</v>
      </c>
    </row>
    <row r="13" spans="1:18" ht="55.5" customHeight="1" x14ac:dyDescent="0.25">
      <c r="A13" s="312"/>
      <c r="B13" s="312"/>
      <c r="C13" s="8" t="s">
        <v>17</v>
      </c>
      <c r="D13" s="23" t="s">
        <v>18</v>
      </c>
      <c r="E13" s="23" t="s">
        <v>15</v>
      </c>
      <c r="F13" s="22" t="s">
        <v>15</v>
      </c>
      <c r="G13" s="24" t="s">
        <v>15</v>
      </c>
      <c r="H13" s="16">
        <v>198091.6</v>
      </c>
      <c r="I13" s="16">
        <v>204824.6</v>
      </c>
      <c r="J13" s="16">
        <v>219030.5</v>
      </c>
      <c r="K13" s="17">
        <v>218633.1</v>
      </c>
      <c r="L13" s="17">
        <v>229336.9</v>
      </c>
      <c r="M13" s="17">
        <v>256968.1</v>
      </c>
      <c r="N13" s="17">
        <v>218059.1</v>
      </c>
      <c r="O13" s="17">
        <v>218059.1</v>
      </c>
      <c r="P13" s="11">
        <f t="shared" si="1"/>
        <v>218059.1</v>
      </c>
      <c r="Q13" s="11">
        <f t="shared" si="2"/>
        <v>1981062.1000000003</v>
      </c>
    </row>
    <row r="14" spans="1:18" ht="63" x14ac:dyDescent="0.25">
      <c r="A14" s="312"/>
      <c r="B14" s="312"/>
      <c r="C14" s="8" t="s">
        <v>25</v>
      </c>
      <c r="D14" s="23" t="s">
        <v>26</v>
      </c>
      <c r="E14" s="23" t="s">
        <v>15</v>
      </c>
      <c r="F14" s="22" t="s">
        <v>15</v>
      </c>
      <c r="G14" s="24" t="s">
        <v>15</v>
      </c>
      <c r="H14" s="16"/>
      <c r="I14" s="16"/>
      <c r="J14" s="16">
        <v>0</v>
      </c>
      <c r="K14" s="17"/>
      <c r="L14" s="17"/>
      <c r="M14" s="17"/>
      <c r="N14" s="17"/>
      <c r="O14" s="17"/>
      <c r="P14" s="11">
        <f t="shared" si="1"/>
        <v>0</v>
      </c>
      <c r="Q14" s="11">
        <f t="shared" si="2"/>
        <v>0</v>
      </c>
    </row>
    <row r="15" spans="1:18" ht="47.25" x14ac:dyDescent="0.25">
      <c r="A15" s="300" t="s">
        <v>27</v>
      </c>
      <c r="B15" s="302" t="s">
        <v>28</v>
      </c>
      <c r="C15" s="21" t="s">
        <v>14</v>
      </c>
      <c r="D15" s="22" t="s">
        <v>15</v>
      </c>
      <c r="E15" s="23" t="s">
        <v>15</v>
      </c>
      <c r="F15" s="22" t="s">
        <v>15</v>
      </c>
      <c r="G15" s="24" t="s">
        <v>15</v>
      </c>
      <c r="H15" s="16">
        <f t="shared" ref="H15:N15" si="7">H18</f>
        <v>214621.9</v>
      </c>
      <c r="I15" s="16">
        <f t="shared" si="7"/>
        <v>231479.1</v>
      </c>
      <c r="J15" s="16">
        <f t="shared" si="7"/>
        <v>252889.60000000001</v>
      </c>
      <c r="K15" s="17">
        <f t="shared" si="7"/>
        <v>262736.59999999998</v>
      </c>
      <c r="L15" s="17">
        <f t="shared" si="7"/>
        <v>275850</v>
      </c>
      <c r="M15" s="17">
        <f>M17+M18</f>
        <v>278474.3</v>
      </c>
      <c r="N15" s="17">
        <f t="shared" si="7"/>
        <v>230247.6</v>
      </c>
      <c r="O15" s="17">
        <f>O18</f>
        <v>230247.6</v>
      </c>
      <c r="P15" s="11">
        <f t="shared" si="1"/>
        <v>230247.6</v>
      </c>
      <c r="Q15" s="11">
        <f t="shared" si="2"/>
        <v>2206794.3000000003</v>
      </c>
    </row>
    <row r="16" spans="1:18" x14ac:dyDescent="0.25">
      <c r="A16" s="301"/>
      <c r="B16" s="303"/>
      <c r="C16" s="21" t="s">
        <v>16</v>
      </c>
      <c r="D16" s="25"/>
      <c r="E16" s="26"/>
      <c r="F16" s="25"/>
      <c r="G16" s="27"/>
      <c r="H16" s="16"/>
      <c r="I16" s="16"/>
      <c r="J16" s="16"/>
      <c r="K16" s="17"/>
      <c r="L16" s="17"/>
      <c r="M16" s="17"/>
      <c r="N16" s="17"/>
      <c r="O16" s="17"/>
      <c r="P16" s="11">
        <f t="shared" si="1"/>
        <v>0</v>
      </c>
      <c r="Q16" s="11">
        <f t="shared" si="2"/>
        <v>0</v>
      </c>
    </row>
    <row r="17" spans="1:17" ht="31.5" hidden="1" x14ac:dyDescent="0.25">
      <c r="A17" s="301"/>
      <c r="B17" s="303"/>
      <c r="C17" s="19" t="s">
        <v>19</v>
      </c>
      <c r="D17" s="20" t="s">
        <v>20</v>
      </c>
      <c r="E17" s="9" t="s">
        <v>15</v>
      </c>
      <c r="F17" s="9" t="s">
        <v>15</v>
      </c>
      <c r="G17" s="9" t="s">
        <v>15</v>
      </c>
      <c r="H17" s="16"/>
      <c r="I17" s="16"/>
      <c r="J17" s="16"/>
      <c r="K17" s="17"/>
      <c r="L17" s="17"/>
      <c r="M17" s="17">
        <v>0</v>
      </c>
      <c r="N17" s="17"/>
      <c r="O17" s="17"/>
      <c r="P17" s="11">
        <f t="shared" si="1"/>
        <v>0</v>
      </c>
      <c r="Q17" s="11">
        <f t="shared" si="2"/>
        <v>0</v>
      </c>
    </row>
    <row r="18" spans="1:17" ht="50.25" customHeight="1" x14ac:dyDescent="0.25">
      <c r="A18" s="301"/>
      <c r="B18" s="304"/>
      <c r="C18" s="8" t="s">
        <v>17</v>
      </c>
      <c r="D18" s="28">
        <v>975</v>
      </c>
      <c r="E18" s="23" t="s">
        <v>15</v>
      </c>
      <c r="F18" s="22" t="s">
        <v>15</v>
      </c>
      <c r="G18" s="24" t="s">
        <v>15</v>
      </c>
      <c r="H18" s="29">
        <v>214621.9</v>
      </c>
      <c r="I18" s="16">
        <v>231479.1</v>
      </c>
      <c r="J18" s="16">
        <v>252889.60000000001</v>
      </c>
      <c r="K18" s="17">
        <v>262736.59999999998</v>
      </c>
      <c r="L18" s="17">
        <v>275850</v>
      </c>
      <c r="M18" s="17">
        <v>278474.3</v>
      </c>
      <c r="N18" s="17">
        <v>230247.6</v>
      </c>
      <c r="O18" s="17">
        <f>N18</f>
        <v>230247.6</v>
      </c>
      <c r="P18" s="11">
        <f t="shared" si="1"/>
        <v>230247.6</v>
      </c>
      <c r="Q18" s="11">
        <f t="shared" si="2"/>
        <v>2206794.3000000003</v>
      </c>
    </row>
    <row r="19" spans="1:17" ht="47.25" customHeight="1" x14ac:dyDescent="0.25">
      <c r="A19" s="300" t="s">
        <v>29</v>
      </c>
      <c r="B19" s="302" t="s">
        <v>30</v>
      </c>
      <c r="C19" s="21" t="s">
        <v>14</v>
      </c>
      <c r="D19" s="23" t="s">
        <v>18</v>
      </c>
      <c r="E19" s="23" t="s">
        <v>15</v>
      </c>
      <c r="F19" s="22" t="s">
        <v>15</v>
      </c>
      <c r="G19" s="24" t="s">
        <v>15</v>
      </c>
      <c r="H19" s="16">
        <f t="shared" ref="H19:N19" si="8">H21</f>
        <v>6990.7</v>
      </c>
      <c r="I19" s="16">
        <f t="shared" si="8"/>
        <v>7764.9</v>
      </c>
      <c r="J19" s="16">
        <f t="shared" si="8"/>
        <v>7414.4</v>
      </c>
      <c r="K19" s="17">
        <f t="shared" si="8"/>
        <v>8058.3</v>
      </c>
      <c r="L19" s="17">
        <f t="shared" si="8"/>
        <v>7980.8</v>
      </c>
      <c r="M19" s="17">
        <f t="shared" si="8"/>
        <v>8572.2999999999993</v>
      </c>
      <c r="N19" s="17">
        <f t="shared" si="8"/>
        <v>8572.2999999999993</v>
      </c>
      <c r="O19" s="17">
        <f>O21</f>
        <v>8572.2999999999993</v>
      </c>
      <c r="P19" s="11">
        <f t="shared" si="1"/>
        <v>8572.2999999999993</v>
      </c>
      <c r="Q19" s="11">
        <f t="shared" si="2"/>
        <v>72498.3</v>
      </c>
    </row>
    <row r="20" spans="1:17" x14ac:dyDescent="0.25">
      <c r="A20" s="301"/>
      <c r="B20" s="303"/>
      <c r="C20" s="21" t="s">
        <v>16</v>
      </c>
      <c r="D20" s="25"/>
      <c r="E20" s="26"/>
      <c r="F20" s="25"/>
      <c r="G20" s="27"/>
      <c r="H20" s="16"/>
      <c r="I20" s="16"/>
      <c r="J20" s="16"/>
      <c r="K20" s="17"/>
      <c r="L20" s="17"/>
      <c r="M20" s="17"/>
      <c r="N20" s="17"/>
      <c r="O20" s="17"/>
      <c r="P20" s="11">
        <f t="shared" si="1"/>
        <v>0</v>
      </c>
      <c r="Q20" s="11">
        <f t="shared" si="2"/>
        <v>0</v>
      </c>
    </row>
    <row r="21" spans="1:17" ht="55.5" customHeight="1" x14ac:dyDescent="0.25">
      <c r="A21" s="301"/>
      <c r="B21" s="304"/>
      <c r="C21" s="8" t="s">
        <v>17</v>
      </c>
      <c r="D21" s="30">
        <v>975</v>
      </c>
      <c r="E21" s="31" t="s">
        <v>15</v>
      </c>
      <c r="F21" s="30" t="s">
        <v>15</v>
      </c>
      <c r="G21" s="32" t="s">
        <v>15</v>
      </c>
      <c r="H21" s="16">
        <v>6990.7</v>
      </c>
      <c r="I21" s="16">
        <v>7764.9</v>
      </c>
      <c r="J21" s="16">
        <v>7414.4</v>
      </c>
      <c r="K21" s="17">
        <v>8058.3</v>
      </c>
      <c r="L21" s="17">
        <v>7980.8</v>
      </c>
      <c r="M21" s="17">
        <v>8572.2999999999993</v>
      </c>
      <c r="N21" s="17">
        <v>8572.2999999999993</v>
      </c>
      <c r="O21" s="17">
        <v>8572.2999999999993</v>
      </c>
      <c r="P21" s="11">
        <f t="shared" si="1"/>
        <v>8572.2999999999993</v>
      </c>
      <c r="Q21" s="11">
        <f t="shared" si="2"/>
        <v>72498.3</v>
      </c>
    </row>
    <row r="22" spans="1:17" ht="47.25" customHeight="1" x14ac:dyDescent="0.25">
      <c r="A22" s="305" t="s">
        <v>31</v>
      </c>
      <c r="B22" s="302" t="s">
        <v>32</v>
      </c>
      <c r="C22" s="21" t="s">
        <v>14</v>
      </c>
      <c r="D22" s="22"/>
      <c r="E22" s="23"/>
      <c r="F22" s="22"/>
      <c r="G22" s="24"/>
      <c r="H22" s="16">
        <f t="shared" ref="H22:N22" si="9">H24+H25+H26</f>
        <v>28125.4</v>
      </c>
      <c r="I22" s="16">
        <f t="shared" si="9"/>
        <v>29557</v>
      </c>
      <c r="J22" s="16">
        <f t="shared" si="9"/>
        <v>32395.200000000001</v>
      </c>
      <c r="K22" s="17">
        <f>K24+K25+K26</f>
        <v>33800</v>
      </c>
      <c r="L22" s="17">
        <f>L24+L25+L26</f>
        <v>36181.299999999996</v>
      </c>
      <c r="M22" s="17">
        <f t="shared" si="9"/>
        <v>32621.9</v>
      </c>
      <c r="N22" s="17">
        <f t="shared" si="9"/>
        <v>42406.200000000004</v>
      </c>
      <c r="O22" s="17">
        <f>O24+O25+O26</f>
        <v>42406.200000000004</v>
      </c>
      <c r="P22" s="11">
        <f t="shared" si="1"/>
        <v>42406.200000000004</v>
      </c>
      <c r="Q22" s="11">
        <f t="shared" si="2"/>
        <v>319899.40000000002</v>
      </c>
    </row>
    <row r="23" spans="1:17" x14ac:dyDescent="0.25">
      <c r="A23" s="305"/>
      <c r="B23" s="303"/>
      <c r="C23" s="21" t="s">
        <v>16</v>
      </c>
      <c r="D23" s="25"/>
      <c r="E23" s="26"/>
      <c r="F23" s="25"/>
      <c r="G23" s="27"/>
      <c r="H23" s="16"/>
      <c r="I23" s="16"/>
      <c r="J23" s="16"/>
      <c r="K23" s="17"/>
      <c r="L23" s="17"/>
      <c r="M23" s="17"/>
      <c r="N23" s="17"/>
      <c r="O23" s="17"/>
      <c r="P23" s="11">
        <f t="shared" si="1"/>
        <v>0</v>
      </c>
      <c r="Q23" s="11">
        <f t="shared" si="2"/>
        <v>0</v>
      </c>
    </row>
    <row r="24" spans="1:17" ht="48.75" customHeight="1" x14ac:dyDescent="0.25">
      <c r="A24" s="305"/>
      <c r="B24" s="303"/>
      <c r="C24" s="8" t="s">
        <v>17</v>
      </c>
      <c r="D24" s="23" t="s">
        <v>18</v>
      </c>
      <c r="E24" s="23" t="s">
        <v>15</v>
      </c>
      <c r="F24" s="22"/>
      <c r="G24" s="24"/>
      <c r="H24" s="16">
        <v>6449.1</v>
      </c>
      <c r="I24" s="16">
        <v>7182.6</v>
      </c>
      <c r="J24" s="16">
        <v>7594.7</v>
      </c>
      <c r="K24" s="17">
        <v>9247.5</v>
      </c>
      <c r="L24" s="17">
        <v>9944.2999999999993</v>
      </c>
      <c r="M24" s="17">
        <v>17060.7</v>
      </c>
      <c r="N24" s="17">
        <f>9213+16522.4</f>
        <v>25735.4</v>
      </c>
      <c r="O24" s="17">
        <f>N24</f>
        <v>25735.4</v>
      </c>
      <c r="P24" s="11">
        <f t="shared" si="1"/>
        <v>25735.4</v>
      </c>
      <c r="Q24" s="11">
        <f t="shared" si="2"/>
        <v>134685.09999999998</v>
      </c>
    </row>
    <row r="25" spans="1:17" ht="39" customHeight="1" x14ac:dyDescent="0.25">
      <c r="A25" s="305"/>
      <c r="B25" s="303"/>
      <c r="C25" s="21" t="s">
        <v>19</v>
      </c>
      <c r="D25" s="22">
        <v>906</v>
      </c>
      <c r="E25" s="23" t="s">
        <v>15</v>
      </c>
      <c r="F25" s="22"/>
      <c r="G25" s="22"/>
      <c r="H25" s="17">
        <v>7523.2</v>
      </c>
      <c r="I25" s="17">
        <f>3247.3+4190.7</f>
        <v>7438</v>
      </c>
      <c r="J25" s="17">
        <f>9009.9+473.9</f>
        <v>9483.7999999999993</v>
      </c>
      <c r="K25" s="17">
        <f>8415+765</f>
        <v>9180</v>
      </c>
      <c r="L25" s="17">
        <v>10241.9</v>
      </c>
      <c r="M25" s="17">
        <v>0</v>
      </c>
      <c r="N25" s="17">
        <v>1517.2</v>
      </c>
      <c r="O25" s="17">
        <v>1517.2</v>
      </c>
      <c r="P25" s="11">
        <f t="shared" si="1"/>
        <v>1517.2</v>
      </c>
      <c r="Q25" s="11">
        <f t="shared" si="2"/>
        <v>48418.499999999993</v>
      </c>
    </row>
    <row r="26" spans="1:17" ht="30" customHeight="1" x14ac:dyDescent="0.25">
      <c r="A26" s="305"/>
      <c r="B26" s="304"/>
      <c r="C26" s="21" t="s">
        <v>21</v>
      </c>
      <c r="D26" s="30">
        <v>976</v>
      </c>
      <c r="E26" s="31" t="s">
        <v>15</v>
      </c>
      <c r="F26" s="25"/>
      <c r="G26" s="25"/>
      <c r="H26" s="16">
        <v>14153.1</v>
      </c>
      <c r="I26" s="16">
        <v>14936.4</v>
      </c>
      <c r="J26" s="17">
        <v>15316.7</v>
      </c>
      <c r="K26" s="17">
        <v>15372.5</v>
      </c>
      <c r="L26" s="17">
        <v>15995.1</v>
      </c>
      <c r="M26" s="17">
        <v>15561.2</v>
      </c>
      <c r="N26" s="17">
        <v>15153.6</v>
      </c>
      <c r="O26" s="17">
        <v>15153.6</v>
      </c>
      <c r="P26" s="11">
        <f t="shared" si="1"/>
        <v>15153.6</v>
      </c>
      <c r="Q26" s="11">
        <f t="shared" si="2"/>
        <v>136795.80000000002</v>
      </c>
    </row>
    <row r="27" spans="1:17" x14ac:dyDescent="0.25">
      <c r="I27" s="33"/>
      <c r="J27" s="33"/>
      <c r="K27" s="34"/>
      <c r="L27" s="33"/>
      <c r="M27" s="33"/>
      <c r="N27" s="33"/>
      <c r="O27" s="33"/>
      <c r="P27" s="33"/>
    </row>
    <row r="28" spans="1:17" ht="18.75" customHeight="1" x14ac:dyDescent="0.25">
      <c r="A28" s="1" t="s">
        <v>33</v>
      </c>
      <c r="Q28" s="1" t="s">
        <v>34</v>
      </c>
    </row>
    <row r="29" spans="1:17" x14ac:dyDescent="0.25">
      <c r="K29" s="36"/>
      <c r="L29" s="36"/>
      <c r="M29" s="36"/>
      <c r="N29" s="36"/>
      <c r="O29" s="36"/>
      <c r="P29" s="36"/>
      <c r="Q29" s="36"/>
    </row>
    <row r="31" spans="1:17" x14ac:dyDescent="0.25">
      <c r="L31" s="37"/>
    </row>
    <row r="32" spans="1:17" x14ac:dyDescent="0.25">
      <c r="L32" s="37"/>
    </row>
    <row r="33" spans="12:17" x14ac:dyDescent="0.25">
      <c r="Q33" s="33"/>
    </row>
    <row r="34" spans="12:17" x14ac:dyDescent="0.25">
      <c r="L34" s="37"/>
      <c r="Q34" s="33"/>
    </row>
    <row r="36" spans="12:17" x14ac:dyDescent="0.25">
      <c r="Q36" s="33"/>
    </row>
    <row r="37" spans="12:17" x14ac:dyDescent="0.25">
      <c r="Q37" s="33"/>
    </row>
  </sheetData>
  <mergeCells count="17">
    <mergeCell ref="M1:Q1"/>
    <mergeCell ref="A2:Q2"/>
    <mergeCell ref="A3:A4"/>
    <mergeCell ref="B3:B4"/>
    <mergeCell ref="C3:C4"/>
    <mergeCell ref="D3:G3"/>
    <mergeCell ref="H3:Q3"/>
    <mergeCell ref="A19:A21"/>
    <mergeCell ref="B19:B21"/>
    <mergeCell ref="A22:A26"/>
    <mergeCell ref="B22:B26"/>
    <mergeCell ref="A5:A10"/>
    <mergeCell ref="B5:B10"/>
    <mergeCell ref="A11:A14"/>
    <mergeCell ref="B11:B14"/>
    <mergeCell ref="A15:A18"/>
    <mergeCell ref="B15:B18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P135"/>
  <sheetViews>
    <sheetView view="pageBreakPreview" topLeftCell="D1" zoomScaleNormal="100" zoomScaleSheetLayoutView="100" workbookViewId="0">
      <selection activeCell="I1" sqref="I1:M1"/>
    </sheetView>
  </sheetViews>
  <sheetFormatPr defaultColWidth="9.28515625" defaultRowHeight="15" x14ac:dyDescent="0.2"/>
  <cols>
    <col min="1" max="1" width="18.42578125" style="38" customWidth="1"/>
    <col min="2" max="2" width="24.85546875" style="38" customWidth="1"/>
    <col min="3" max="3" width="30.140625" style="38" customWidth="1"/>
    <col min="4" max="4" width="13.42578125" style="38" customWidth="1"/>
    <col min="5" max="13" width="16" style="38" customWidth="1"/>
    <col min="14" max="16384" width="9.28515625" style="38"/>
  </cols>
  <sheetData>
    <row r="1" spans="1:13" ht="72" customHeight="1" x14ac:dyDescent="0.25">
      <c r="C1" s="35"/>
      <c r="D1" s="35"/>
      <c r="F1" s="39"/>
      <c r="G1" s="39"/>
      <c r="H1" s="39"/>
      <c r="I1" s="321" t="s">
        <v>35</v>
      </c>
      <c r="J1" s="321"/>
      <c r="K1" s="321"/>
      <c r="L1" s="321"/>
      <c r="M1" s="321"/>
    </row>
    <row r="2" spans="1:13" ht="55.5" customHeight="1" x14ac:dyDescent="0.2">
      <c r="A2" s="322" t="s">
        <v>36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</row>
    <row r="3" spans="1:13" ht="33.75" customHeight="1" x14ac:dyDescent="0.2">
      <c r="A3" s="305" t="s">
        <v>37</v>
      </c>
      <c r="B3" s="312" t="s">
        <v>38</v>
      </c>
      <c r="C3" s="323" t="s">
        <v>39</v>
      </c>
      <c r="D3" s="325" t="s">
        <v>40</v>
      </c>
      <c r="E3" s="325"/>
      <c r="F3" s="325"/>
      <c r="G3" s="325"/>
      <c r="H3" s="325"/>
      <c r="I3" s="325"/>
      <c r="J3" s="325"/>
      <c r="K3" s="325"/>
      <c r="L3" s="325"/>
      <c r="M3" s="325"/>
    </row>
    <row r="4" spans="1:13" ht="36" customHeight="1" x14ac:dyDescent="0.2">
      <c r="A4" s="305"/>
      <c r="B4" s="312"/>
      <c r="C4" s="324"/>
      <c r="D4" s="40" t="s">
        <v>41</v>
      </c>
      <c r="E4" s="40" t="s">
        <v>42</v>
      </c>
      <c r="F4" s="40" t="s">
        <v>43</v>
      </c>
      <c r="G4" s="41" t="s">
        <v>44</v>
      </c>
      <c r="H4" s="40" t="s">
        <v>45</v>
      </c>
      <c r="I4" s="40" t="s">
        <v>46</v>
      </c>
      <c r="J4" s="40" t="s">
        <v>47</v>
      </c>
      <c r="K4" s="40" t="s">
        <v>48</v>
      </c>
      <c r="L4" s="41" t="s">
        <v>49</v>
      </c>
      <c r="M4" s="40" t="s">
        <v>11</v>
      </c>
    </row>
    <row r="5" spans="1:13" ht="15.75" customHeight="1" x14ac:dyDescent="0.2">
      <c r="A5" s="300" t="s">
        <v>12</v>
      </c>
      <c r="B5" s="302" t="s">
        <v>13</v>
      </c>
      <c r="C5" s="42" t="s">
        <v>50</v>
      </c>
      <c r="D5" s="43">
        <f t="shared" ref="D5:J5" si="0">D7+D8+D9</f>
        <v>447829.60000000003</v>
      </c>
      <c r="E5" s="43">
        <f t="shared" si="0"/>
        <v>473625.59999999998</v>
      </c>
      <c r="F5" s="43">
        <f t="shared" si="0"/>
        <v>511729.69999999995</v>
      </c>
      <c r="G5" s="44">
        <f t="shared" si="0"/>
        <v>523228.00000000006</v>
      </c>
      <c r="H5" s="44">
        <f>H7+H8+H9</f>
        <v>549349</v>
      </c>
      <c r="I5" s="44">
        <f t="shared" si="0"/>
        <v>576636.60000000009</v>
      </c>
      <c r="J5" s="44">
        <f t="shared" si="0"/>
        <v>499285.2</v>
      </c>
      <c r="K5" s="44">
        <f>K7+K8+K9</f>
        <v>499285.2</v>
      </c>
      <c r="L5" s="44">
        <f>K5</f>
        <v>499285.2</v>
      </c>
      <c r="M5" s="44">
        <f>SUM(D5:L5)</f>
        <v>4580254.1000000006</v>
      </c>
    </row>
    <row r="6" spans="1:13" ht="15.75" x14ac:dyDescent="0.2">
      <c r="A6" s="301"/>
      <c r="B6" s="303"/>
      <c r="C6" s="45" t="s">
        <v>51</v>
      </c>
      <c r="D6" s="46"/>
      <c r="E6" s="47"/>
      <c r="F6" s="47"/>
      <c r="G6" s="48"/>
      <c r="H6" s="48"/>
      <c r="I6" s="48"/>
      <c r="J6" s="48"/>
      <c r="K6" s="48"/>
      <c r="L6" s="44">
        <f t="shared" ref="L6:L29" si="1">K6</f>
        <v>0</v>
      </c>
      <c r="M6" s="44">
        <f t="shared" ref="M6:M29" si="2">SUM(D6:L6)</f>
        <v>0</v>
      </c>
    </row>
    <row r="7" spans="1:13" ht="15.75" customHeight="1" x14ac:dyDescent="0.2">
      <c r="A7" s="301"/>
      <c r="B7" s="303"/>
      <c r="C7" s="49" t="s">
        <v>52</v>
      </c>
      <c r="D7" s="43">
        <f>D12+D17+D22+D27</f>
        <v>215148.1</v>
      </c>
      <c r="E7" s="43">
        <f t="shared" ref="E7:J9" si="3">E12+E17+E22+E27</f>
        <v>208367.5</v>
      </c>
      <c r="F7" s="43">
        <f t="shared" si="3"/>
        <v>280623.8</v>
      </c>
      <c r="G7" s="44">
        <f t="shared" si="3"/>
        <v>301525.8</v>
      </c>
      <c r="H7" s="44">
        <f t="shared" si="3"/>
        <v>326259.80000000005</v>
      </c>
      <c r="I7" s="44">
        <f t="shared" si="3"/>
        <v>329960.40000000002</v>
      </c>
      <c r="J7" s="44">
        <f t="shared" si="3"/>
        <v>303649.2</v>
      </c>
      <c r="K7" s="44">
        <f>K12+K17+K22+K27</f>
        <v>303649.2</v>
      </c>
      <c r="L7" s="44">
        <f t="shared" si="1"/>
        <v>303649.2</v>
      </c>
      <c r="M7" s="44">
        <f t="shared" si="2"/>
        <v>2572833</v>
      </c>
    </row>
    <row r="8" spans="1:13" ht="15.75" x14ac:dyDescent="0.2">
      <c r="A8" s="301"/>
      <c r="B8" s="303"/>
      <c r="C8" s="49" t="s">
        <v>53</v>
      </c>
      <c r="D8" s="43">
        <f>D13+D18+D23+D28</f>
        <v>217161.60000000001</v>
      </c>
      <c r="E8" s="43">
        <f t="shared" si="3"/>
        <v>249957.8</v>
      </c>
      <c r="F8" s="43">
        <f t="shared" si="3"/>
        <v>211534.09999999998</v>
      </c>
      <c r="G8" s="44">
        <f t="shared" si="3"/>
        <v>199302.50000000003</v>
      </c>
      <c r="H8" s="44">
        <f>H13+H18+H23+H28</f>
        <v>198036.09999999998</v>
      </c>
      <c r="I8" s="44">
        <f t="shared" si="3"/>
        <v>221512.90000000002</v>
      </c>
      <c r="J8" s="44">
        <f t="shared" si="3"/>
        <v>170472.7</v>
      </c>
      <c r="K8" s="44">
        <f>K13+K18+K23+K28</f>
        <v>170472.7</v>
      </c>
      <c r="L8" s="44">
        <f t="shared" si="1"/>
        <v>170472.7</v>
      </c>
      <c r="M8" s="44">
        <f t="shared" si="2"/>
        <v>1808923.0999999999</v>
      </c>
    </row>
    <row r="9" spans="1:13" ht="15" customHeight="1" x14ac:dyDescent="0.2">
      <c r="A9" s="319"/>
      <c r="B9" s="304"/>
      <c r="C9" s="49" t="s">
        <v>54</v>
      </c>
      <c r="D9" s="43">
        <f>D14+D19+D24+D29</f>
        <v>15519.9</v>
      </c>
      <c r="E9" s="43">
        <f t="shared" si="3"/>
        <v>15300.3</v>
      </c>
      <c r="F9" s="43">
        <f t="shared" si="3"/>
        <v>19571.8</v>
      </c>
      <c r="G9" s="44">
        <f>G14+G19+G24+G29</f>
        <v>22399.7</v>
      </c>
      <c r="H9" s="44">
        <f>H14+H19+H24+H29</f>
        <v>25053.100000000002</v>
      </c>
      <c r="I9" s="44">
        <f t="shared" si="3"/>
        <v>25163.300000000003</v>
      </c>
      <c r="J9" s="44">
        <f t="shared" si="3"/>
        <v>25163.300000000003</v>
      </c>
      <c r="K9" s="44">
        <f>K14+K19+K24+K29</f>
        <v>25163.300000000003</v>
      </c>
      <c r="L9" s="44">
        <f t="shared" si="1"/>
        <v>25163.300000000003</v>
      </c>
      <c r="M9" s="44">
        <f t="shared" si="2"/>
        <v>198498</v>
      </c>
    </row>
    <row r="10" spans="1:13" ht="15.75" customHeight="1" x14ac:dyDescent="0.2">
      <c r="A10" s="300" t="s">
        <v>55</v>
      </c>
      <c r="B10" s="302" t="s">
        <v>24</v>
      </c>
      <c r="C10" s="42" t="s">
        <v>50</v>
      </c>
      <c r="D10" s="43">
        <f t="shared" ref="D10:J10" si="4">D12+D13+D14</f>
        <v>198091.59999999998</v>
      </c>
      <c r="E10" s="43">
        <f t="shared" si="4"/>
        <v>204824.59999999998</v>
      </c>
      <c r="F10" s="43">
        <f t="shared" si="4"/>
        <v>219030.5</v>
      </c>
      <c r="G10" s="44">
        <f t="shared" si="4"/>
        <v>218633.1</v>
      </c>
      <c r="H10" s="44">
        <f t="shared" si="4"/>
        <v>229336.9</v>
      </c>
      <c r="I10" s="44">
        <f t="shared" si="4"/>
        <v>256968.1</v>
      </c>
      <c r="J10" s="44">
        <f t="shared" si="4"/>
        <v>218059.1</v>
      </c>
      <c r="K10" s="44">
        <f>K12+K13+K14</f>
        <v>218059.1</v>
      </c>
      <c r="L10" s="44">
        <f t="shared" si="1"/>
        <v>218059.1</v>
      </c>
      <c r="M10" s="44">
        <f t="shared" si="2"/>
        <v>1981062.1000000003</v>
      </c>
    </row>
    <row r="11" spans="1:13" ht="15.75" x14ac:dyDescent="0.2">
      <c r="A11" s="301"/>
      <c r="B11" s="303"/>
      <c r="C11" s="45" t="s">
        <v>51</v>
      </c>
      <c r="D11" s="46"/>
      <c r="E11" s="43"/>
      <c r="F11" s="47"/>
      <c r="G11" s="48"/>
      <c r="H11" s="48"/>
      <c r="I11" s="48"/>
      <c r="J11" s="48"/>
      <c r="K11" s="48"/>
      <c r="L11" s="44">
        <f t="shared" si="1"/>
        <v>0</v>
      </c>
      <c r="M11" s="44">
        <f t="shared" si="2"/>
        <v>0</v>
      </c>
    </row>
    <row r="12" spans="1:13" ht="15.75" x14ac:dyDescent="0.2">
      <c r="A12" s="301"/>
      <c r="B12" s="303"/>
      <c r="C12" s="50" t="s">
        <v>56</v>
      </c>
      <c r="D12" s="51">
        <v>92552.9</v>
      </c>
      <c r="E12" s="43">
        <v>81485.8</v>
      </c>
      <c r="F12" s="47">
        <v>116158.7</v>
      </c>
      <c r="G12" s="48">
        <v>122752.3</v>
      </c>
      <c r="H12" s="48">
        <v>129296.8</v>
      </c>
      <c r="I12" s="48">
        <v>140146</v>
      </c>
      <c r="J12" s="48">
        <v>125514.1</v>
      </c>
      <c r="K12" s="48">
        <v>125514.1</v>
      </c>
      <c r="L12" s="44">
        <f t="shared" si="1"/>
        <v>125514.1</v>
      </c>
      <c r="M12" s="44">
        <f t="shared" si="2"/>
        <v>1058934.8</v>
      </c>
    </row>
    <row r="13" spans="1:13" ht="15.75" x14ac:dyDescent="0.2">
      <c r="A13" s="301"/>
      <c r="B13" s="303"/>
      <c r="C13" s="50" t="s">
        <v>57</v>
      </c>
      <c r="D13" s="51">
        <v>92376.4</v>
      </c>
      <c r="E13" s="43">
        <v>110895</v>
      </c>
      <c r="F13" s="43">
        <v>86284.2</v>
      </c>
      <c r="G13" s="44">
        <v>76465.3</v>
      </c>
      <c r="H13" s="44">
        <v>78788.7</v>
      </c>
      <c r="I13" s="44">
        <v>95053.7</v>
      </c>
      <c r="J13" s="44">
        <v>70776.600000000006</v>
      </c>
      <c r="K13" s="44">
        <v>70776.600000000006</v>
      </c>
      <c r="L13" s="44">
        <f t="shared" si="1"/>
        <v>70776.600000000006</v>
      </c>
      <c r="M13" s="44">
        <f t="shared" si="2"/>
        <v>752193.09999999986</v>
      </c>
    </row>
    <row r="14" spans="1:13" ht="31.5" x14ac:dyDescent="0.2">
      <c r="A14" s="319"/>
      <c r="B14" s="304"/>
      <c r="C14" s="50" t="s">
        <v>58</v>
      </c>
      <c r="D14" s="51">
        <v>13162.3</v>
      </c>
      <c r="E14" s="43">
        <v>12443.8</v>
      </c>
      <c r="F14" s="47">
        <v>16587.599999999999</v>
      </c>
      <c r="G14" s="48">
        <v>19415.5</v>
      </c>
      <c r="H14" s="48">
        <v>21251.4</v>
      </c>
      <c r="I14" s="48">
        <v>21768.400000000001</v>
      </c>
      <c r="J14" s="48">
        <v>21768.400000000001</v>
      </c>
      <c r="K14" s="48">
        <v>21768.400000000001</v>
      </c>
      <c r="L14" s="44">
        <f t="shared" si="1"/>
        <v>21768.400000000001</v>
      </c>
      <c r="M14" s="44">
        <f t="shared" si="2"/>
        <v>169934.19999999998</v>
      </c>
    </row>
    <row r="15" spans="1:13" ht="15.75" customHeight="1" x14ac:dyDescent="0.2">
      <c r="A15" s="300" t="s">
        <v>59</v>
      </c>
      <c r="B15" s="302" t="s">
        <v>28</v>
      </c>
      <c r="C15" s="42" t="s">
        <v>50</v>
      </c>
      <c r="D15" s="43">
        <f t="shared" ref="D15:I15" si="5">D17+D18+D19</f>
        <v>214621.9</v>
      </c>
      <c r="E15" s="43">
        <f t="shared" si="5"/>
        <v>231479.09999999998</v>
      </c>
      <c r="F15" s="43">
        <f t="shared" si="5"/>
        <v>252889.59999999998</v>
      </c>
      <c r="G15" s="44">
        <f t="shared" si="5"/>
        <v>262736.60000000003</v>
      </c>
      <c r="H15" s="44">
        <f t="shared" si="5"/>
        <v>275850</v>
      </c>
      <c r="I15" s="44">
        <f t="shared" si="5"/>
        <v>278474.3</v>
      </c>
      <c r="J15" s="44">
        <f>J17+J18+J19</f>
        <v>230247.6</v>
      </c>
      <c r="K15" s="44">
        <f>K17+K18+K19</f>
        <v>230247.6</v>
      </c>
      <c r="L15" s="44">
        <f t="shared" si="1"/>
        <v>230247.6</v>
      </c>
      <c r="M15" s="44">
        <f t="shared" si="2"/>
        <v>2206794.3000000003</v>
      </c>
    </row>
    <row r="16" spans="1:13" ht="15.75" x14ac:dyDescent="0.2">
      <c r="A16" s="301"/>
      <c r="B16" s="303"/>
      <c r="C16" s="45" t="s">
        <v>51</v>
      </c>
      <c r="D16" s="46"/>
      <c r="E16" s="47"/>
      <c r="F16" s="47"/>
      <c r="G16" s="48"/>
      <c r="H16" s="48"/>
      <c r="I16" s="48"/>
      <c r="J16" s="48"/>
      <c r="K16" s="48"/>
      <c r="L16" s="44">
        <f t="shared" si="1"/>
        <v>0</v>
      </c>
      <c r="M16" s="44">
        <f t="shared" si="2"/>
        <v>0</v>
      </c>
    </row>
    <row r="17" spans="1:14" ht="15.75" x14ac:dyDescent="0.2">
      <c r="A17" s="301"/>
      <c r="B17" s="303"/>
      <c r="C17" s="42" t="s">
        <v>60</v>
      </c>
      <c r="D17" s="51">
        <v>109406.9</v>
      </c>
      <c r="E17" s="43">
        <v>113565.8</v>
      </c>
      <c r="F17" s="47">
        <v>149314.1</v>
      </c>
      <c r="G17" s="48">
        <v>163921.20000000001</v>
      </c>
      <c r="H17" s="48">
        <v>178896.1</v>
      </c>
      <c r="I17" s="48">
        <v>182332.1</v>
      </c>
      <c r="J17" s="48">
        <v>169172</v>
      </c>
      <c r="K17" s="48">
        <v>169172</v>
      </c>
      <c r="L17" s="44">
        <f t="shared" si="1"/>
        <v>169172</v>
      </c>
      <c r="M17" s="44">
        <f t="shared" si="2"/>
        <v>1404952.2</v>
      </c>
    </row>
    <row r="18" spans="1:14" ht="15.75" x14ac:dyDescent="0.2">
      <c r="A18" s="301"/>
      <c r="B18" s="303"/>
      <c r="C18" s="42" t="s">
        <v>61</v>
      </c>
      <c r="D18" s="51">
        <v>103390.39999999999</v>
      </c>
      <c r="E18" s="43">
        <v>115762</v>
      </c>
      <c r="F18" s="43">
        <v>101282.7</v>
      </c>
      <c r="G18" s="44">
        <v>96522.6</v>
      </c>
      <c r="H18" s="44">
        <v>93843.6</v>
      </c>
      <c r="I18" s="44">
        <v>93528.5</v>
      </c>
      <c r="J18" s="44">
        <v>58461.9</v>
      </c>
      <c r="K18" s="44">
        <f>J18</f>
        <v>58461.9</v>
      </c>
      <c r="L18" s="44">
        <f>K18</f>
        <v>58461.9</v>
      </c>
      <c r="M18" s="44">
        <f t="shared" si="2"/>
        <v>779715.5</v>
      </c>
    </row>
    <row r="19" spans="1:14" ht="15.75" x14ac:dyDescent="0.2">
      <c r="A19" s="319"/>
      <c r="B19" s="304"/>
      <c r="C19" s="42" t="s">
        <v>62</v>
      </c>
      <c r="D19" s="51">
        <v>1824.6</v>
      </c>
      <c r="E19" s="43">
        <v>2151.3000000000002</v>
      </c>
      <c r="F19" s="47">
        <v>2292.8000000000002</v>
      </c>
      <c r="G19" s="48">
        <v>2292.8000000000002</v>
      </c>
      <c r="H19" s="48">
        <v>3110.3</v>
      </c>
      <c r="I19" s="48">
        <v>2613.6999999999998</v>
      </c>
      <c r="J19" s="48">
        <v>2613.6999999999998</v>
      </c>
      <c r="K19" s="48">
        <v>2613.6999999999998</v>
      </c>
      <c r="L19" s="44">
        <f t="shared" si="1"/>
        <v>2613.6999999999998</v>
      </c>
      <c r="M19" s="44">
        <f t="shared" si="2"/>
        <v>22126.600000000002</v>
      </c>
    </row>
    <row r="20" spans="1:14" ht="15.75" customHeight="1" x14ac:dyDescent="0.2">
      <c r="A20" s="300" t="s">
        <v>29</v>
      </c>
      <c r="B20" s="302" t="s">
        <v>30</v>
      </c>
      <c r="C20" s="42" t="s">
        <v>50</v>
      </c>
      <c r="D20" s="43">
        <f t="shared" ref="D20:I20" si="6">D22+D23+D24</f>
        <v>6990.7000000000007</v>
      </c>
      <c r="E20" s="43">
        <f t="shared" si="6"/>
        <v>7764.9</v>
      </c>
      <c r="F20" s="43">
        <f t="shared" si="6"/>
        <v>7414.4</v>
      </c>
      <c r="G20" s="44">
        <f t="shared" si="6"/>
        <v>8058.2999999999993</v>
      </c>
      <c r="H20" s="44">
        <f>H22+H23+H24</f>
        <v>7980.7999999999993</v>
      </c>
      <c r="I20" s="44">
        <f t="shared" si="6"/>
        <v>8572.2999999999993</v>
      </c>
      <c r="J20" s="44">
        <f>J22+J23+J24</f>
        <v>8572.2999999999993</v>
      </c>
      <c r="K20" s="44">
        <f>K22+K23+K24</f>
        <v>8572.2999999999993</v>
      </c>
      <c r="L20" s="44">
        <f t="shared" si="1"/>
        <v>8572.2999999999993</v>
      </c>
      <c r="M20" s="44">
        <f t="shared" si="2"/>
        <v>72498.3</v>
      </c>
    </row>
    <row r="21" spans="1:14" ht="15.75" x14ac:dyDescent="0.2">
      <c r="A21" s="301"/>
      <c r="B21" s="303"/>
      <c r="C21" s="45" t="s">
        <v>51</v>
      </c>
      <c r="D21" s="51"/>
      <c r="E21" s="43"/>
      <c r="F21" s="47"/>
      <c r="G21" s="48"/>
      <c r="H21" s="48"/>
      <c r="I21" s="48"/>
      <c r="J21" s="48"/>
      <c r="K21" s="48"/>
      <c r="L21" s="44">
        <f t="shared" si="1"/>
        <v>0</v>
      </c>
      <c r="M21" s="44">
        <f t="shared" si="2"/>
        <v>0</v>
      </c>
    </row>
    <row r="22" spans="1:14" ht="15.75" x14ac:dyDescent="0.2">
      <c r="A22" s="301"/>
      <c r="B22" s="303"/>
      <c r="C22" s="49" t="s">
        <v>52</v>
      </c>
      <c r="D22" s="51">
        <v>4599.6000000000004</v>
      </c>
      <c r="E22" s="43">
        <v>4788.3999999999996</v>
      </c>
      <c r="F22" s="47">
        <v>4560.6000000000004</v>
      </c>
      <c r="G22" s="48">
        <v>4565.7</v>
      </c>
      <c r="H22" s="48">
        <v>5116.3999999999996</v>
      </c>
      <c r="I22" s="48">
        <v>5436.9</v>
      </c>
      <c r="J22" s="48">
        <v>5436.9</v>
      </c>
      <c r="K22" s="48">
        <v>5436.9</v>
      </c>
      <c r="L22" s="44">
        <f t="shared" si="1"/>
        <v>5436.9</v>
      </c>
      <c r="M22" s="44">
        <f t="shared" si="2"/>
        <v>45378.3</v>
      </c>
    </row>
    <row r="23" spans="1:14" ht="15.75" x14ac:dyDescent="0.2">
      <c r="A23" s="301"/>
      <c r="B23" s="303"/>
      <c r="C23" s="49" t="s">
        <v>53</v>
      </c>
      <c r="D23" s="51">
        <v>1858.1</v>
      </c>
      <c r="E23" s="43">
        <v>2271.3000000000002</v>
      </c>
      <c r="F23" s="43">
        <v>2162.4</v>
      </c>
      <c r="G23" s="44">
        <v>2801.2</v>
      </c>
      <c r="H23" s="44">
        <v>2173</v>
      </c>
      <c r="I23" s="44">
        <v>2354.1999999999998</v>
      </c>
      <c r="J23" s="44">
        <v>2354.1999999999998</v>
      </c>
      <c r="K23" s="44">
        <v>2354.1999999999998</v>
      </c>
      <c r="L23" s="44">
        <f t="shared" si="1"/>
        <v>2354.1999999999998</v>
      </c>
      <c r="M23" s="44">
        <f t="shared" si="2"/>
        <v>20682.800000000003</v>
      </c>
    </row>
    <row r="24" spans="1:14" ht="31.5" x14ac:dyDescent="0.2">
      <c r="A24" s="319"/>
      <c r="B24" s="304"/>
      <c r="C24" s="49" t="s">
        <v>54</v>
      </c>
      <c r="D24" s="51">
        <v>533</v>
      </c>
      <c r="E24" s="43">
        <v>705.2</v>
      </c>
      <c r="F24" s="47">
        <v>691.4</v>
      </c>
      <c r="G24" s="48">
        <v>691.4</v>
      </c>
      <c r="H24" s="48">
        <v>691.4</v>
      </c>
      <c r="I24" s="48">
        <v>781.2</v>
      </c>
      <c r="J24" s="48">
        <v>781.2</v>
      </c>
      <c r="K24" s="48">
        <v>781.2</v>
      </c>
      <c r="L24" s="44">
        <f t="shared" si="1"/>
        <v>781.2</v>
      </c>
      <c r="M24" s="44">
        <f t="shared" si="2"/>
        <v>6437.2</v>
      </c>
    </row>
    <row r="25" spans="1:14" ht="15.75" customHeight="1" x14ac:dyDescent="0.2">
      <c r="A25" s="300" t="s">
        <v>31</v>
      </c>
      <c r="B25" s="302" t="s">
        <v>32</v>
      </c>
      <c r="C25" s="42" t="s">
        <v>50</v>
      </c>
      <c r="D25" s="43">
        <f t="shared" ref="D25:I25" si="7">D27+D28+D29</f>
        <v>28125.4</v>
      </c>
      <c r="E25" s="43">
        <f t="shared" si="7"/>
        <v>29557</v>
      </c>
      <c r="F25" s="43">
        <f t="shared" si="7"/>
        <v>32395.199999999997</v>
      </c>
      <c r="G25" s="44">
        <f t="shared" si="7"/>
        <v>33800</v>
      </c>
      <c r="H25" s="44">
        <f t="shared" si="7"/>
        <v>36181.300000000003</v>
      </c>
      <c r="I25" s="44">
        <f t="shared" si="7"/>
        <v>32621.9</v>
      </c>
      <c r="J25" s="44">
        <f>J27+J28+J29</f>
        <v>42406.2</v>
      </c>
      <c r="K25" s="44">
        <f>K27+K28+K29</f>
        <v>42406.2</v>
      </c>
      <c r="L25" s="44">
        <f t="shared" si="1"/>
        <v>42406.2</v>
      </c>
      <c r="M25" s="44">
        <f t="shared" si="2"/>
        <v>319899.40000000002</v>
      </c>
    </row>
    <row r="26" spans="1:14" ht="15.75" x14ac:dyDescent="0.2">
      <c r="A26" s="301"/>
      <c r="B26" s="303"/>
      <c r="C26" s="45" t="s">
        <v>51</v>
      </c>
      <c r="D26" s="51"/>
      <c r="E26" s="43"/>
      <c r="F26" s="47"/>
      <c r="G26" s="48"/>
      <c r="H26" s="48"/>
      <c r="I26" s="48"/>
      <c r="J26" s="48"/>
      <c r="K26" s="48"/>
      <c r="L26" s="44">
        <f t="shared" si="1"/>
        <v>0</v>
      </c>
      <c r="M26" s="44">
        <f t="shared" si="2"/>
        <v>0</v>
      </c>
    </row>
    <row r="27" spans="1:14" ht="15.75" x14ac:dyDescent="0.2">
      <c r="A27" s="301"/>
      <c r="B27" s="303"/>
      <c r="C27" s="49" t="s">
        <v>52</v>
      </c>
      <c r="D27" s="51">
        <v>8588.7000000000007</v>
      </c>
      <c r="E27" s="43">
        <v>8527.5</v>
      </c>
      <c r="F27" s="47">
        <v>10590.4</v>
      </c>
      <c r="G27" s="48">
        <v>10286.6</v>
      </c>
      <c r="H27" s="48">
        <v>12950.5</v>
      </c>
      <c r="I27" s="48">
        <v>2045.4</v>
      </c>
      <c r="J27" s="48">
        <v>3526.2</v>
      </c>
      <c r="K27" s="48">
        <v>3526.2</v>
      </c>
      <c r="L27" s="44">
        <f t="shared" si="1"/>
        <v>3526.2</v>
      </c>
      <c r="M27" s="44">
        <f t="shared" si="2"/>
        <v>63567.69999999999</v>
      </c>
    </row>
    <row r="28" spans="1:14" ht="15.75" x14ac:dyDescent="0.2">
      <c r="A28" s="301"/>
      <c r="B28" s="303"/>
      <c r="C28" s="49" t="s">
        <v>53</v>
      </c>
      <c r="D28" s="51">
        <v>19536.7</v>
      </c>
      <c r="E28" s="43">
        <v>21029.5</v>
      </c>
      <c r="F28" s="43">
        <v>21804.799999999999</v>
      </c>
      <c r="G28" s="44">
        <v>23513.4</v>
      </c>
      <c r="H28" s="44">
        <v>23230.799999999999</v>
      </c>
      <c r="I28" s="44">
        <v>30576.5</v>
      </c>
      <c r="J28" s="44">
        <v>38880</v>
      </c>
      <c r="K28" s="44">
        <f>J28</f>
        <v>38880</v>
      </c>
      <c r="L28" s="44">
        <f t="shared" si="1"/>
        <v>38880</v>
      </c>
      <c r="M28" s="44">
        <f t="shared" si="2"/>
        <v>256331.7</v>
      </c>
    </row>
    <row r="29" spans="1:14" ht="15" customHeight="1" x14ac:dyDescent="0.2">
      <c r="A29" s="319"/>
      <c r="B29" s="304"/>
      <c r="C29" s="49" t="s">
        <v>54</v>
      </c>
      <c r="D29" s="51">
        <v>0</v>
      </c>
      <c r="E29" s="43">
        <v>0</v>
      </c>
      <c r="F29" s="47">
        <v>0</v>
      </c>
      <c r="G29" s="48">
        <v>0</v>
      </c>
      <c r="H29" s="48">
        <v>0</v>
      </c>
      <c r="I29" s="48">
        <v>0</v>
      </c>
      <c r="J29" s="48">
        <v>0</v>
      </c>
      <c r="K29" s="48">
        <v>0</v>
      </c>
      <c r="L29" s="44">
        <f t="shared" si="1"/>
        <v>0</v>
      </c>
      <c r="M29" s="44">
        <f t="shared" si="2"/>
        <v>0</v>
      </c>
    </row>
    <row r="30" spans="1:14" s="35" customFormat="1" ht="30.75" customHeight="1" x14ac:dyDescent="0.25">
      <c r="A30" s="52" t="s">
        <v>33</v>
      </c>
      <c r="B30" s="52"/>
      <c r="C30" s="53"/>
      <c r="D30" s="53"/>
      <c r="E30" s="54"/>
      <c r="F30" s="55"/>
      <c r="G30" s="320" t="s">
        <v>34</v>
      </c>
      <c r="H30" s="320"/>
      <c r="I30" s="320"/>
      <c r="J30" s="320"/>
      <c r="K30" s="320"/>
      <c r="L30" s="320"/>
      <c r="M30" s="320"/>
      <c r="N30" s="56"/>
    </row>
    <row r="135" spans="16:16" ht="105" customHeight="1" x14ac:dyDescent="0.25">
      <c r="P135" s="35"/>
    </row>
  </sheetData>
  <mergeCells count="17">
    <mergeCell ref="I1:M1"/>
    <mergeCell ref="A2:M2"/>
    <mergeCell ref="A3:A4"/>
    <mergeCell ref="B3:B4"/>
    <mergeCell ref="C3:C4"/>
    <mergeCell ref="D3:M3"/>
    <mergeCell ref="A5:A9"/>
    <mergeCell ref="B5:B9"/>
    <mergeCell ref="A10:A14"/>
    <mergeCell ref="B10:B14"/>
    <mergeCell ref="A15:A19"/>
    <mergeCell ref="B15:B19"/>
    <mergeCell ref="A20:A24"/>
    <mergeCell ref="B20:B24"/>
    <mergeCell ref="A25:A29"/>
    <mergeCell ref="B25:B29"/>
    <mergeCell ref="G30:M30"/>
  </mergeCells>
  <printOptions horizontalCentered="1"/>
  <pageMargins left="0.15748031496062992" right="0.15748031496062992" top="0.78740157480314965" bottom="0" header="0.31496062992125984" footer="0.31496062992125984"/>
  <pageSetup paperSize="9" scale="63" orientation="landscape" useFirstPageNumber="1" r:id="rId1"/>
  <headerFooter differentFirst="1">
    <oddHeader>&amp;C&amp;P</oddHeader>
  </headerFooter>
  <rowBreaks count="1" manualBreakCount="1">
    <brk id="19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Q35"/>
  <sheetViews>
    <sheetView view="pageBreakPreview" zoomScaleNormal="100" zoomScaleSheetLayoutView="100" workbookViewId="0">
      <selection activeCell="E1" sqref="E1"/>
    </sheetView>
  </sheetViews>
  <sheetFormatPr defaultRowHeight="15.75" x14ac:dyDescent="0.25"/>
  <cols>
    <col min="1" max="1" width="46.42578125" style="1" customWidth="1"/>
    <col min="2" max="2" width="9.140625" style="1" customWidth="1"/>
    <col min="3" max="8" width="9.140625" style="1"/>
    <col min="9" max="9" width="10.28515625" style="1" customWidth="1"/>
    <col min="10" max="10" width="9.5703125" style="1" bestFit="1" customWidth="1"/>
    <col min="11" max="11" width="10.140625" style="1" customWidth="1"/>
    <col min="12" max="12" width="10.7109375" style="1" bestFit="1" customWidth="1"/>
    <col min="13" max="13" width="10.7109375" style="1" customWidth="1"/>
    <col min="14" max="14" width="10.7109375" style="35" customWidth="1"/>
    <col min="15" max="15" width="10.7109375" style="1" bestFit="1" customWidth="1"/>
    <col min="16" max="16" width="10.7109375" style="1" customWidth="1"/>
    <col min="17" max="17" width="11" style="1" customWidth="1"/>
    <col min="18" max="16384" width="9.140625" style="1"/>
  </cols>
  <sheetData>
    <row r="1" spans="1:17" ht="71.25" customHeight="1" x14ac:dyDescent="0.25">
      <c r="I1" s="336" t="s">
        <v>63</v>
      </c>
      <c r="J1" s="336"/>
      <c r="K1" s="336"/>
      <c r="L1" s="336"/>
      <c r="M1" s="336"/>
      <c r="N1" s="336"/>
      <c r="O1" s="336"/>
      <c r="P1" s="336"/>
    </row>
    <row r="2" spans="1:17" s="57" customFormat="1" ht="34.5" customHeight="1" x14ac:dyDescent="0.2">
      <c r="A2" s="314" t="s">
        <v>64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</row>
    <row r="3" spans="1:17" ht="35.25" customHeight="1" x14ac:dyDescent="0.25">
      <c r="A3" s="315" t="s">
        <v>65</v>
      </c>
      <c r="B3" s="315" t="s">
        <v>66</v>
      </c>
      <c r="C3" s="315"/>
      <c r="D3" s="315"/>
      <c r="E3" s="315"/>
      <c r="F3" s="315"/>
      <c r="G3" s="315"/>
      <c r="H3" s="315"/>
      <c r="I3" s="337" t="s">
        <v>67</v>
      </c>
      <c r="J3" s="338"/>
      <c r="K3" s="338"/>
      <c r="L3" s="338"/>
      <c r="M3" s="338"/>
      <c r="N3" s="338"/>
      <c r="O3" s="338"/>
      <c r="P3" s="338"/>
      <c r="Q3" s="338"/>
    </row>
    <row r="4" spans="1:17" ht="31.5" x14ac:dyDescent="0.25">
      <c r="A4" s="315"/>
      <c r="B4" s="6" t="s">
        <v>41</v>
      </c>
      <c r="C4" s="5" t="s">
        <v>42</v>
      </c>
      <c r="D4" s="5" t="s">
        <v>43</v>
      </c>
      <c r="E4" s="5" t="s">
        <v>44</v>
      </c>
      <c r="F4" s="5" t="s">
        <v>45</v>
      </c>
      <c r="G4" s="5" t="s">
        <v>46</v>
      </c>
      <c r="H4" s="5" t="s">
        <v>47</v>
      </c>
      <c r="I4" s="6" t="s">
        <v>41</v>
      </c>
      <c r="J4" s="5" t="s">
        <v>42</v>
      </c>
      <c r="K4" s="5" t="s">
        <v>43</v>
      </c>
      <c r="L4" s="5" t="s">
        <v>44</v>
      </c>
      <c r="M4" s="5" t="s">
        <v>45</v>
      </c>
      <c r="N4" s="6" t="s">
        <v>46</v>
      </c>
      <c r="O4" s="5" t="s">
        <v>47</v>
      </c>
      <c r="P4" s="5" t="s">
        <v>48</v>
      </c>
      <c r="Q4" s="7" t="s">
        <v>49</v>
      </c>
    </row>
    <row r="5" spans="1:17" x14ac:dyDescent="0.25">
      <c r="A5" s="333" t="s">
        <v>68</v>
      </c>
      <c r="B5" s="334"/>
      <c r="C5" s="334"/>
      <c r="D5" s="334"/>
      <c r="E5" s="334"/>
      <c r="F5" s="334"/>
      <c r="G5" s="334"/>
      <c r="H5" s="334"/>
      <c r="I5" s="334"/>
      <c r="J5" s="334"/>
      <c r="K5" s="334"/>
      <c r="L5" s="334"/>
      <c r="M5" s="334"/>
      <c r="N5" s="334"/>
      <c r="O5" s="334"/>
      <c r="P5" s="335"/>
    </row>
    <row r="6" spans="1:17" x14ac:dyDescent="0.25">
      <c r="A6" s="12" t="s">
        <v>69</v>
      </c>
      <c r="B6" s="326" t="s">
        <v>70</v>
      </c>
      <c r="C6" s="327"/>
      <c r="D6" s="327"/>
      <c r="E6" s="327"/>
      <c r="F6" s="327"/>
      <c r="G6" s="327"/>
      <c r="H6" s="327"/>
      <c r="I6" s="327"/>
      <c r="J6" s="327"/>
      <c r="K6" s="327"/>
      <c r="L6" s="327"/>
      <c r="M6" s="327"/>
      <c r="N6" s="327"/>
      <c r="O6" s="327"/>
      <c r="P6" s="328"/>
    </row>
    <row r="7" spans="1:17" x14ac:dyDescent="0.25">
      <c r="A7" s="329" t="s">
        <v>71</v>
      </c>
      <c r="B7" s="330"/>
      <c r="C7" s="330"/>
      <c r="D7" s="330"/>
      <c r="E7" s="330"/>
      <c r="F7" s="330"/>
      <c r="G7" s="330"/>
      <c r="H7" s="330"/>
      <c r="I7" s="330"/>
      <c r="J7" s="330"/>
      <c r="K7" s="330"/>
      <c r="L7" s="330"/>
      <c r="M7" s="330"/>
      <c r="N7" s="330"/>
      <c r="O7" s="330"/>
      <c r="P7" s="331"/>
    </row>
    <row r="8" spans="1:17" ht="31.5" x14ac:dyDescent="0.25">
      <c r="A8" s="21" t="s">
        <v>72</v>
      </c>
      <c r="B8" s="22">
        <v>1264</v>
      </c>
      <c r="C8" s="22">
        <v>1687</v>
      </c>
      <c r="D8" s="22">
        <v>1731</v>
      </c>
      <c r="E8" s="22">
        <v>1673</v>
      </c>
      <c r="F8" s="22">
        <v>1753</v>
      </c>
      <c r="G8" s="22">
        <v>1753</v>
      </c>
      <c r="H8" s="22">
        <v>1753</v>
      </c>
      <c r="I8" s="58">
        <v>110039.9</v>
      </c>
      <c r="J8" s="22">
        <v>115982.1</v>
      </c>
      <c r="K8" s="58">
        <v>189224.3</v>
      </c>
      <c r="L8" s="58">
        <f>165397.3+24524.8</f>
        <v>189922.09999999998</v>
      </c>
      <c r="M8" s="58">
        <v>229336.9</v>
      </c>
      <c r="N8" s="58">
        <v>256968.1</v>
      </c>
      <c r="O8" s="58">
        <v>218059.1</v>
      </c>
      <c r="P8" s="58">
        <v>218059.1</v>
      </c>
      <c r="Q8" s="58">
        <v>218059.1</v>
      </c>
    </row>
    <row r="9" spans="1:17" x14ac:dyDescent="0.25">
      <c r="A9" s="333" t="s">
        <v>73</v>
      </c>
      <c r="B9" s="334"/>
      <c r="C9" s="334"/>
      <c r="D9" s="334"/>
      <c r="E9" s="334"/>
      <c r="F9" s="334"/>
      <c r="G9" s="334"/>
      <c r="H9" s="334"/>
      <c r="I9" s="334"/>
      <c r="J9" s="334"/>
      <c r="K9" s="334"/>
      <c r="L9" s="334"/>
      <c r="M9" s="334"/>
      <c r="N9" s="334"/>
      <c r="O9" s="334"/>
      <c r="P9" s="335"/>
    </row>
    <row r="10" spans="1:17" x14ac:dyDescent="0.25">
      <c r="A10" s="12" t="s">
        <v>69</v>
      </c>
      <c r="B10" s="326" t="s">
        <v>74</v>
      </c>
      <c r="C10" s="327"/>
      <c r="D10" s="327"/>
      <c r="E10" s="327"/>
      <c r="F10" s="327"/>
      <c r="G10" s="327"/>
      <c r="H10" s="327"/>
      <c r="I10" s="327"/>
      <c r="J10" s="327"/>
      <c r="K10" s="327"/>
      <c r="L10" s="327"/>
      <c r="M10" s="327"/>
      <c r="N10" s="327"/>
      <c r="O10" s="327"/>
      <c r="P10" s="328"/>
    </row>
    <row r="11" spans="1:17" x14ac:dyDescent="0.25">
      <c r="A11" s="329" t="s">
        <v>75</v>
      </c>
      <c r="B11" s="330"/>
      <c r="C11" s="330"/>
      <c r="D11" s="330"/>
      <c r="E11" s="330"/>
      <c r="F11" s="330"/>
      <c r="G11" s="330"/>
      <c r="H11" s="330"/>
      <c r="I11" s="330"/>
      <c r="J11" s="330"/>
      <c r="K11" s="330"/>
      <c r="L11" s="330"/>
      <c r="M11" s="330"/>
      <c r="N11" s="330"/>
      <c r="O11" s="330"/>
      <c r="P11" s="331"/>
    </row>
    <row r="12" spans="1:17" ht="31.5" x14ac:dyDescent="0.25">
      <c r="A12" s="21" t="s">
        <v>72</v>
      </c>
      <c r="B12" s="22">
        <v>1265</v>
      </c>
      <c r="C12" s="22">
        <v>1233</v>
      </c>
      <c r="D12" s="22">
        <v>1194</v>
      </c>
      <c r="E12" s="22">
        <v>1267</v>
      </c>
      <c r="F12" s="22">
        <v>1351</v>
      </c>
      <c r="G12" s="22">
        <v>1351</v>
      </c>
      <c r="H12" s="22">
        <v>1351</v>
      </c>
      <c r="I12" s="22">
        <v>58719.245999999999</v>
      </c>
      <c r="J12" s="22">
        <v>61890.1</v>
      </c>
      <c r="K12" s="58">
        <v>56463.8</v>
      </c>
      <c r="L12" s="58">
        <v>108873.3</v>
      </c>
      <c r="M12" s="58">
        <f>70.55*F12</f>
        <v>95313.05</v>
      </c>
      <c r="N12" s="58">
        <f>77.9313*1351</f>
        <v>105285.18629999999</v>
      </c>
      <c r="O12" s="58">
        <f>64.5176*H12</f>
        <v>87163.277600000001</v>
      </c>
      <c r="P12" s="58">
        <f>O12</f>
        <v>87163.277600000001</v>
      </c>
      <c r="Q12" s="58">
        <f>P12</f>
        <v>87163.277600000001</v>
      </c>
    </row>
    <row r="13" spans="1:17" x14ac:dyDescent="0.25">
      <c r="A13" s="333" t="s">
        <v>76</v>
      </c>
      <c r="B13" s="334"/>
      <c r="C13" s="334"/>
      <c r="D13" s="334"/>
      <c r="E13" s="334"/>
      <c r="F13" s="334"/>
      <c r="G13" s="334"/>
      <c r="H13" s="334"/>
      <c r="I13" s="334"/>
      <c r="J13" s="334"/>
      <c r="K13" s="334"/>
      <c r="L13" s="334"/>
      <c r="M13" s="334"/>
      <c r="N13" s="334"/>
      <c r="O13" s="334"/>
      <c r="P13" s="335"/>
    </row>
    <row r="14" spans="1:17" x14ac:dyDescent="0.25">
      <c r="A14" s="12" t="s">
        <v>69</v>
      </c>
      <c r="B14" s="326" t="s">
        <v>77</v>
      </c>
      <c r="C14" s="327"/>
      <c r="D14" s="327"/>
      <c r="E14" s="327"/>
      <c r="F14" s="327"/>
      <c r="G14" s="327"/>
      <c r="H14" s="327"/>
      <c r="I14" s="327"/>
      <c r="J14" s="327"/>
      <c r="K14" s="327"/>
      <c r="L14" s="327"/>
      <c r="M14" s="327"/>
      <c r="N14" s="327"/>
      <c r="O14" s="327"/>
      <c r="P14" s="328"/>
    </row>
    <row r="15" spans="1:17" x14ac:dyDescent="0.25">
      <c r="A15" s="329" t="s">
        <v>75</v>
      </c>
      <c r="B15" s="330"/>
      <c r="C15" s="330"/>
      <c r="D15" s="330"/>
      <c r="E15" s="330"/>
      <c r="F15" s="330"/>
      <c r="G15" s="330"/>
      <c r="H15" s="330"/>
      <c r="I15" s="330"/>
      <c r="J15" s="330"/>
      <c r="K15" s="330"/>
      <c r="L15" s="330"/>
      <c r="M15" s="330"/>
      <c r="N15" s="330"/>
      <c r="O15" s="330"/>
      <c r="P15" s="331"/>
    </row>
    <row r="16" spans="1:17" ht="31.5" x14ac:dyDescent="0.25">
      <c r="A16" s="21" t="s">
        <v>72</v>
      </c>
      <c r="B16" s="6">
        <v>1284</v>
      </c>
      <c r="C16" s="6">
        <v>1377</v>
      </c>
      <c r="D16" s="6">
        <v>1433</v>
      </c>
      <c r="E16" s="6">
        <v>1086</v>
      </c>
      <c r="F16" s="6">
        <v>1419</v>
      </c>
      <c r="G16" s="6">
        <v>1419</v>
      </c>
      <c r="H16" s="6">
        <v>1419</v>
      </c>
      <c r="I16" s="58">
        <v>59652</v>
      </c>
      <c r="J16" s="22">
        <v>62873.2</v>
      </c>
      <c r="K16" s="22">
        <v>82739.399999999994</v>
      </c>
      <c r="L16" s="58">
        <v>93320</v>
      </c>
      <c r="M16" s="58">
        <f>70.55*F16</f>
        <v>100110.45</v>
      </c>
      <c r="N16" s="58">
        <f>77.9313*1419</f>
        <v>110584.51469999999</v>
      </c>
      <c r="O16" s="22">
        <f>64.5176*H16</f>
        <v>91550.474400000006</v>
      </c>
      <c r="P16" s="22">
        <f>O16</f>
        <v>91550.474400000006</v>
      </c>
      <c r="Q16" s="22">
        <f>P16</f>
        <v>91550.474400000006</v>
      </c>
    </row>
    <row r="17" spans="1:17" x14ac:dyDescent="0.25">
      <c r="A17" s="333" t="s">
        <v>78</v>
      </c>
      <c r="B17" s="334"/>
      <c r="C17" s="334"/>
      <c r="D17" s="334"/>
      <c r="E17" s="334"/>
      <c r="F17" s="334"/>
      <c r="G17" s="334"/>
      <c r="H17" s="334"/>
      <c r="I17" s="334"/>
      <c r="J17" s="334"/>
      <c r="K17" s="334"/>
      <c r="L17" s="334"/>
      <c r="M17" s="334"/>
      <c r="N17" s="334"/>
      <c r="O17" s="334"/>
      <c r="P17" s="335"/>
    </row>
    <row r="18" spans="1:17" x14ac:dyDescent="0.25">
      <c r="A18" s="12" t="s">
        <v>69</v>
      </c>
      <c r="B18" s="326" t="s">
        <v>79</v>
      </c>
      <c r="C18" s="327"/>
      <c r="D18" s="327"/>
      <c r="E18" s="327"/>
      <c r="F18" s="327"/>
      <c r="G18" s="327"/>
      <c r="H18" s="327"/>
      <c r="I18" s="327"/>
      <c r="J18" s="327"/>
      <c r="K18" s="327"/>
      <c r="L18" s="327"/>
      <c r="M18" s="327"/>
      <c r="N18" s="327"/>
      <c r="O18" s="327"/>
      <c r="P18" s="328"/>
    </row>
    <row r="19" spans="1:17" x14ac:dyDescent="0.25">
      <c r="A19" s="329" t="s">
        <v>75</v>
      </c>
      <c r="B19" s="330">
        <v>338</v>
      </c>
      <c r="C19" s="330">
        <v>309</v>
      </c>
      <c r="D19" s="330">
        <v>277</v>
      </c>
      <c r="E19" s="330">
        <v>270</v>
      </c>
      <c r="F19" s="330">
        <v>388</v>
      </c>
      <c r="G19" s="330">
        <v>388</v>
      </c>
      <c r="H19" s="330">
        <v>388</v>
      </c>
      <c r="I19" s="330">
        <v>14085.156999999999</v>
      </c>
      <c r="J19" s="330">
        <v>14845.7</v>
      </c>
      <c r="K19" s="330">
        <v>16243.5</v>
      </c>
      <c r="L19" s="330">
        <f>23201.1-13.98</f>
        <v>23187.119999999999</v>
      </c>
      <c r="M19" s="330">
        <f>70.55*F19-3.5</f>
        <v>27369.899999999998</v>
      </c>
      <c r="N19" s="330">
        <f>66.55*G19+49.5</f>
        <v>25870.899999999998</v>
      </c>
      <c r="O19" s="330">
        <f>N19</f>
        <v>25870.899999999998</v>
      </c>
      <c r="P19" s="331">
        <f>O19</f>
        <v>25870.899999999998</v>
      </c>
    </row>
    <row r="20" spans="1:17" ht="31.5" x14ac:dyDescent="0.25">
      <c r="A20" s="21" t="s">
        <v>72</v>
      </c>
      <c r="B20" s="22">
        <v>338</v>
      </c>
      <c r="C20" s="22">
        <v>309</v>
      </c>
      <c r="D20" s="22">
        <v>277</v>
      </c>
      <c r="E20" s="22">
        <v>270</v>
      </c>
      <c r="F20" s="22">
        <v>388</v>
      </c>
      <c r="G20" s="22">
        <v>388</v>
      </c>
      <c r="H20" s="22">
        <v>388</v>
      </c>
      <c r="I20" s="22">
        <v>14085.156999999999</v>
      </c>
      <c r="J20" s="22">
        <v>14845.7</v>
      </c>
      <c r="K20" s="58">
        <v>16243.5</v>
      </c>
      <c r="L20" s="58">
        <f>23201.1-13.98</f>
        <v>23187.119999999999</v>
      </c>
      <c r="M20" s="58">
        <f>70.55*F20-3.5</f>
        <v>27369.899999999998</v>
      </c>
      <c r="N20" s="58">
        <f>77.9313*388+0.2</f>
        <v>30237.544399999999</v>
      </c>
      <c r="O20" s="22">
        <f>64.5176*H20</f>
        <v>25032.828799999999</v>
      </c>
      <c r="P20" s="22">
        <f>O20</f>
        <v>25032.828799999999</v>
      </c>
      <c r="Q20" s="22">
        <f>P20</f>
        <v>25032.828799999999</v>
      </c>
    </row>
    <row r="21" spans="1:17" x14ac:dyDescent="0.25">
      <c r="A21" s="333"/>
      <c r="B21" s="334"/>
      <c r="C21" s="334"/>
      <c r="D21" s="334"/>
      <c r="E21" s="334"/>
      <c r="F21" s="334"/>
      <c r="G21" s="334"/>
      <c r="H21" s="334"/>
      <c r="I21" s="334"/>
      <c r="J21" s="334"/>
      <c r="K21" s="334"/>
      <c r="L21" s="334"/>
      <c r="M21" s="334"/>
      <c r="N21" s="334"/>
      <c r="O21" s="334"/>
      <c r="P21" s="335"/>
    </row>
    <row r="22" spans="1:17" x14ac:dyDescent="0.25">
      <c r="A22" s="12" t="s">
        <v>69</v>
      </c>
      <c r="B22" s="326" t="s">
        <v>80</v>
      </c>
      <c r="C22" s="327"/>
      <c r="D22" s="327"/>
      <c r="E22" s="327"/>
      <c r="F22" s="327"/>
      <c r="G22" s="327"/>
      <c r="H22" s="327"/>
      <c r="I22" s="327"/>
      <c r="J22" s="327"/>
      <c r="K22" s="327"/>
      <c r="L22" s="327"/>
      <c r="M22" s="327"/>
      <c r="N22" s="327"/>
      <c r="O22" s="327"/>
      <c r="P22" s="328"/>
    </row>
    <row r="23" spans="1:17" x14ac:dyDescent="0.25">
      <c r="A23" s="329" t="s">
        <v>81</v>
      </c>
      <c r="B23" s="330"/>
      <c r="C23" s="330"/>
      <c r="D23" s="330"/>
      <c r="E23" s="330"/>
      <c r="F23" s="330"/>
      <c r="G23" s="330"/>
      <c r="H23" s="330"/>
      <c r="I23" s="330"/>
      <c r="J23" s="330"/>
      <c r="K23" s="330"/>
      <c r="L23" s="330"/>
      <c r="M23" s="330"/>
      <c r="N23" s="330"/>
      <c r="O23" s="330"/>
      <c r="P23" s="331"/>
    </row>
    <row r="24" spans="1:17" ht="31.5" x14ac:dyDescent="0.25">
      <c r="A24" s="21" t="s">
        <v>72</v>
      </c>
      <c r="B24" s="22">
        <v>2859</v>
      </c>
      <c r="C24" s="22">
        <v>2860</v>
      </c>
      <c r="D24" s="22">
        <v>2850</v>
      </c>
      <c r="E24" s="22">
        <v>2783</v>
      </c>
      <c r="F24" s="22">
        <v>2783</v>
      </c>
      <c r="G24" s="22">
        <v>2783</v>
      </c>
      <c r="H24" s="22">
        <v>2783</v>
      </c>
      <c r="I24" s="58">
        <v>6990.7</v>
      </c>
      <c r="J24" s="22">
        <v>7764.9</v>
      </c>
      <c r="K24" s="22">
        <v>7414.4</v>
      </c>
      <c r="L24" s="22">
        <v>7366.9</v>
      </c>
      <c r="M24" s="22">
        <v>7980.8</v>
      </c>
      <c r="N24" s="22">
        <v>8572.2999999999993</v>
      </c>
      <c r="O24" s="22">
        <v>8572.2999999999993</v>
      </c>
      <c r="P24" s="22">
        <v>8572.2999999999993</v>
      </c>
      <c r="Q24" s="22">
        <v>8572.2999999999993</v>
      </c>
    </row>
    <row r="25" spans="1:17" x14ac:dyDescent="0.25">
      <c r="A25" s="333" t="s">
        <v>82</v>
      </c>
      <c r="B25" s="334"/>
      <c r="C25" s="334"/>
      <c r="D25" s="334"/>
      <c r="E25" s="334"/>
      <c r="F25" s="334"/>
      <c r="G25" s="334"/>
      <c r="H25" s="334"/>
      <c r="I25" s="334"/>
      <c r="J25" s="334"/>
      <c r="K25" s="334"/>
      <c r="L25" s="334"/>
      <c r="M25" s="334"/>
      <c r="N25" s="334"/>
      <c r="O25" s="334"/>
      <c r="P25" s="335"/>
    </row>
    <row r="26" spans="1:17" x14ac:dyDescent="0.25">
      <c r="A26" s="12" t="s">
        <v>69</v>
      </c>
      <c r="B26" s="326" t="s">
        <v>83</v>
      </c>
      <c r="C26" s="327"/>
      <c r="D26" s="327"/>
      <c r="E26" s="327"/>
      <c r="F26" s="327"/>
      <c r="G26" s="327"/>
      <c r="H26" s="327"/>
      <c r="I26" s="327"/>
      <c r="J26" s="327"/>
      <c r="K26" s="327"/>
      <c r="L26" s="327"/>
      <c r="M26" s="327"/>
      <c r="N26" s="327"/>
      <c r="O26" s="327"/>
      <c r="P26" s="328"/>
    </row>
    <row r="27" spans="1:17" x14ac:dyDescent="0.25">
      <c r="A27" s="329" t="s">
        <v>75</v>
      </c>
      <c r="B27" s="330"/>
      <c r="C27" s="330"/>
      <c r="D27" s="330"/>
      <c r="E27" s="330"/>
      <c r="F27" s="330"/>
      <c r="G27" s="330"/>
      <c r="H27" s="330"/>
      <c r="I27" s="330"/>
      <c r="J27" s="330"/>
      <c r="K27" s="330"/>
      <c r="L27" s="330"/>
      <c r="M27" s="330"/>
      <c r="N27" s="330"/>
      <c r="O27" s="330"/>
      <c r="P27" s="331"/>
    </row>
    <row r="28" spans="1:17" ht="31.5" x14ac:dyDescent="0.25">
      <c r="A28" s="21" t="s">
        <v>72</v>
      </c>
      <c r="B28" s="59">
        <v>1760</v>
      </c>
      <c r="C28" s="59">
        <v>1718</v>
      </c>
      <c r="D28" s="59">
        <v>1663</v>
      </c>
      <c r="E28" s="59">
        <v>1639</v>
      </c>
      <c r="F28" s="59">
        <v>1639</v>
      </c>
      <c r="G28" s="59">
        <v>1639</v>
      </c>
      <c r="H28" s="59">
        <v>1639</v>
      </c>
      <c r="I28" s="59">
        <v>20067.3</v>
      </c>
      <c r="J28" s="59">
        <v>21150.9</v>
      </c>
      <c r="K28" s="60">
        <v>35773.199999999997</v>
      </c>
      <c r="L28" s="60">
        <v>26419.7</v>
      </c>
      <c r="M28" s="60">
        <v>32389.599999999999</v>
      </c>
      <c r="N28" s="59">
        <v>32367.1</v>
      </c>
      <c r="O28" s="59">
        <v>26500.7</v>
      </c>
      <c r="P28" s="59">
        <f>O28</f>
        <v>26500.7</v>
      </c>
      <c r="Q28" s="59">
        <f>P28</f>
        <v>26500.7</v>
      </c>
    </row>
    <row r="29" spans="1:17" x14ac:dyDescent="0.25">
      <c r="A29" s="333" t="s">
        <v>84</v>
      </c>
      <c r="B29" s="334"/>
      <c r="C29" s="334"/>
      <c r="D29" s="334"/>
      <c r="E29" s="334"/>
      <c r="F29" s="334"/>
      <c r="G29" s="334"/>
      <c r="H29" s="334"/>
      <c r="I29" s="334"/>
      <c r="J29" s="334"/>
      <c r="K29" s="334"/>
      <c r="L29" s="334"/>
      <c r="M29" s="334"/>
      <c r="N29" s="334"/>
      <c r="O29" s="334"/>
      <c r="P29" s="335"/>
    </row>
    <row r="30" spans="1:17" x14ac:dyDescent="0.25">
      <c r="A30" s="12" t="s">
        <v>69</v>
      </c>
      <c r="B30" s="326" t="s">
        <v>85</v>
      </c>
      <c r="C30" s="327"/>
      <c r="D30" s="327"/>
      <c r="E30" s="327"/>
      <c r="F30" s="327"/>
      <c r="G30" s="327"/>
      <c r="H30" s="327"/>
      <c r="I30" s="327"/>
      <c r="J30" s="327"/>
      <c r="K30" s="327"/>
      <c r="L30" s="327"/>
      <c r="M30" s="327"/>
      <c r="N30" s="327"/>
      <c r="O30" s="327"/>
      <c r="P30" s="328"/>
    </row>
    <row r="31" spans="1:17" x14ac:dyDescent="0.25">
      <c r="A31" s="329" t="s">
        <v>75</v>
      </c>
      <c r="B31" s="330"/>
      <c r="C31" s="330"/>
      <c r="D31" s="330"/>
      <c r="E31" s="330"/>
      <c r="F31" s="330"/>
      <c r="G31" s="330"/>
      <c r="H31" s="330"/>
      <c r="I31" s="330"/>
      <c r="J31" s="330"/>
      <c r="K31" s="330"/>
      <c r="L31" s="330"/>
      <c r="M31" s="330"/>
      <c r="N31" s="330"/>
      <c r="O31" s="330"/>
      <c r="P31" s="331"/>
    </row>
    <row r="32" spans="1:17" ht="31.5" x14ac:dyDescent="0.25">
      <c r="A32" s="21" t="s">
        <v>72</v>
      </c>
      <c r="B32" s="22">
        <v>272</v>
      </c>
      <c r="C32" s="22">
        <v>272</v>
      </c>
      <c r="D32" s="22">
        <v>272</v>
      </c>
      <c r="E32" s="22">
        <v>509</v>
      </c>
      <c r="F32" s="22">
        <v>520</v>
      </c>
      <c r="G32" s="22">
        <v>520</v>
      </c>
      <c r="H32" s="22">
        <v>520</v>
      </c>
      <c r="I32" s="58">
        <v>1840.2</v>
      </c>
      <c r="J32" s="58">
        <v>1939.6</v>
      </c>
      <c r="K32" s="58">
        <v>760.7</v>
      </c>
      <c r="L32" s="58">
        <f>415+1197.4</f>
        <v>1612.4</v>
      </c>
      <c r="M32" s="58">
        <f>444+1240.7</f>
        <v>1684.7</v>
      </c>
      <c r="N32" s="58">
        <f>444+1240.7</f>
        <v>1684.7</v>
      </c>
      <c r="O32" s="58">
        <f>444+1240.7</f>
        <v>1684.7</v>
      </c>
      <c r="P32" s="58">
        <f>444+1240.7</f>
        <v>1684.7</v>
      </c>
      <c r="Q32" s="58">
        <f>444+1240.7</f>
        <v>1684.7</v>
      </c>
    </row>
    <row r="34" spans="1:15" x14ac:dyDescent="0.25">
      <c r="N34" s="61"/>
      <c r="O34" s="62"/>
    </row>
    <row r="35" spans="1:15" x14ac:dyDescent="0.25">
      <c r="A35" s="1" t="s">
        <v>33</v>
      </c>
      <c r="K35" s="332" t="s">
        <v>34</v>
      </c>
      <c r="L35" s="332"/>
      <c r="M35" s="332"/>
      <c r="N35" s="332"/>
      <c r="O35" s="332"/>
    </row>
  </sheetData>
  <mergeCells count="27">
    <mergeCell ref="A5:P5"/>
    <mergeCell ref="I1:P1"/>
    <mergeCell ref="A2:P2"/>
    <mergeCell ref="A3:A4"/>
    <mergeCell ref="B3:H3"/>
    <mergeCell ref="I3:Q3"/>
    <mergeCell ref="A21:P21"/>
    <mergeCell ref="B6:P6"/>
    <mergeCell ref="A7:P7"/>
    <mergeCell ref="A9:P9"/>
    <mergeCell ref="B10:P10"/>
    <mergeCell ref="A11:P11"/>
    <mergeCell ref="A13:P13"/>
    <mergeCell ref="B14:P14"/>
    <mergeCell ref="A15:P15"/>
    <mergeCell ref="A17:P17"/>
    <mergeCell ref="B18:P18"/>
    <mergeCell ref="A19:P19"/>
    <mergeCell ref="B30:P30"/>
    <mergeCell ref="A31:P31"/>
    <mergeCell ref="K35:O35"/>
    <mergeCell ref="B22:P22"/>
    <mergeCell ref="A23:P23"/>
    <mergeCell ref="A25:P25"/>
    <mergeCell ref="B26:P26"/>
    <mergeCell ref="A27:P27"/>
    <mergeCell ref="A29:P29"/>
  </mergeCells>
  <pageMargins left="0.51181102362204722" right="0.51181102362204722" top="0.55118110236220474" bottom="0.35433070866141736" header="0.31496062992125984" footer="0.31496062992125984"/>
  <pageSetup paperSize="9" scale="64" fitToHeight="26" orientation="landscape" r:id="rId1"/>
  <headerFooter differentFirst="1">
    <oddHeader>&amp;C&amp;P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Q13"/>
  <sheetViews>
    <sheetView view="pageBreakPreview" zoomScale="79" zoomScaleNormal="79" zoomScaleSheetLayoutView="79" workbookViewId="0">
      <pane ySplit="5" topLeftCell="A6" activePane="bottomLeft" state="frozen"/>
      <selection activeCell="Q12" sqref="Q12"/>
      <selection pane="bottomLeft" activeCell="B1" sqref="B1"/>
    </sheetView>
  </sheetViews>
  <sheetFormatPr defaultRowHeight="15.75" x14ac:dyDescent="0.25"/>
  <cols>
    <col min="1" max="1" width="6.28515625" style="108" customWidth="1"/>
    <col min="2" max="2" width="79.140625" style="35" customWidth="1"/>
    <col min="3" max="3" width="12" style="35" customWidth="1"/>
    <col min="4" max="7" width="11.42578125" style="35" customWidth="1"/>
    <col min="8" max="10" width="11.42578125" style="55" customWidth="1"/>
    <col min="11" max="11" width="9.140625" style="55"/>
    <col min="12" max="16384" width="9.140625" style="35"/>
  </cols>
  <sheetData>
    <row r="1" spans="1:17" ht="51.75" customHeight="1" x14ac:dyDescent="0.25">
      <c r="A1" s="63"/>
      <c r="B1" s="64"/>
      <c r="C1" s="65"/>
      <c r="E1" s="346" t="s">
        <v>244</v>
      </c>
      <c r="F1" s="346"/>
      <c r="G1" s="346"/>
      <c r="H1" s="346"/>
      <c r="I1" s="346"/>
      <c r="J1" s="346"/>
    </row>
    <row r="2" spans="1:17" ht="37.5" customHeight="1" x14ac:dyDescent="0.25">
      <c r="A2" s="365" t="s">
        <v>245</v>
      </c>
      <c r="B2" s="365"/>
      <c r="C2" s="365"/>
      <c r="D2" s="365"/>
      <c r="E2" s="365"/>
      <c r="F2" s="365"/>
      <c r="G2" s="365"/>
      <c r="H2" s="365"/>
      <c r="I2" s="365"/>
      <c r="J2" s="365"/>
    </row>
    <row r="3" spans="1:17" ht="25.5" customHeight="1" x14ac:dyDescent="0.25">
      <c r="A3" s="366" t="s">
        <v>88</v>
      </c>
      <c r="B3" s="369" t="s">
        <v>246</v>
      </c>
      <c r="C3" s="369" t="s">
        <v>90</v>
      </c>
      <c r="D3" s="300" t="s">
        <v>92</v>
      </c>
      <c r="E3" s="300" t="s">
        <v>41</v>
      </c>
      <c r="F3" s="300" t="s">
        <v>42</v>
      </c>
      <c r="G3" s="300" t="s">
        <v>43</v>
      </c>
      <c r="H3" s="323" t="s">
        <v>44</v>
      </c>
      <c r="I3" s="323" t="s">
        <v>45</v>
      </c>
      <c r="J3" s="323" t="s">
        <v>46</v>
      </c>
      <c r="K3" s="323" t="s">
        <v>47</v>
      </c>
      <c r="L3" s="323" t="s">
        <v>48</v>
      </c>
      <c r="M3" s="323" t="s">
        <v>49</v>
      </c>
    </row>
    <row r="4" spans="1:17" ht="25.5" customHeight="1" x14ac:dyDescent="0.25">
      <c r="A4" s="367"/>
      <c r="B4" s="370"/>
      <c r="C4" s="370"/>
      <c r="D4" s="301"/>
      <c r="E4" s="372"/>
      <c r="F4" s="374"/>
      <c r="G4" s="301"/>
      <c r="H4" s="324"/>
      <c r="I4" s="324"/>
      <c r="J4" s="324"/>
      <c r="K4" s="324"/>
      <c r="L4" s="324"/>
      <c r="M4" s="324"/>
    </row>
    <row r="5" spans="1:17" ht="25.5" customHeight="1" x14ac:dyDescent="0.25">
      <c r="A5" s="368"/>
      <c r="B5" s="371"/>
      <c r="C5" s="371"/>
      <c r="D5" s="319"/>
      <c r="E5" s="373"/>
      <c r="F5" s="375"/>
      <c r="G5" s="319"/>
      <c r="H5" s="362"/>
      <c r="I5" s="362"/>
      <c r="J5" s="362"/>
      <c r="K5" s="362"/>
      <c r="L5" s="362"/>
      <c r="M5" s="362"/>
    </row>
    <row r="6" spans="1:17" ht="39.75" customHeight="1" x14ac:dyDescent="0.25">
      <c r="A6" s="363" t="s">
        <v>247</v>
      </c>
      <c r="B6" s="364"/>
      <c r="C6" s="364"/>
      <c r="D6" s="364"/>
      <c r="E6" s="364"/>
      <c r="F6" s="364"/>
      <c r="G6" s="364"/>
      <c r="H6" s="364"/>
      <c r="I6" s="364"/>
      <c r="J6" s="364"/>
      <c r="K6" s="364"/>
      <c r="L6" s="364"/>
    </row>
    <row r="7" spans="1:17" ht="33" customHeight="1" x14ac:dyDescent="0.25">
      <c r="A7" s="360" t="s">
        <v>248</v>
      </c>
      <c r="B7" s="361"/>
      <c r="C7" s="361"/>
      <c r="D7" s="361"/>
      <c r="E7" s="361"/>
      <c r="F7" s="361"/>
      <c r="G7" s="361"/>
      <c r="H7" s="361"/>
      <c r="I7" s="361"/>
      <c r="J7" s="361"/>
      <c r="K7" s="361"/>
      <c r="L7" s="361"/>
    </row>
    <row r="8" spans="1:17" ht="47.25" customHeight="1" x14ac:dyDescent="0.25">
      <c r="A8" s="121" t="s">
        <v>249</v>
      </c>
      <c r="B8" s="91" t="s">
        <v>110</v>
      </c>
      <c r="C8" s="24" t="s">
        <v>96</v>
      </c>
      <c r="D8" s="76" t="s">
        <v>111</v>
      </c>
      <c r="E8" s="122">
        <v>90.1</v>
      </c>
      <c r="F8" s="123">
        <v>97.5</v>
      </c>
      <c r="G8" s="77">
        <v>100</v>
      </c>
      <c r="H8" s="77">
        <v>100</v>
      </c>
      <c r="I8" s="77">
        <v>100</v>
      </c>
      <c r="J8" s="77">
        <v>100</v>
      </c>
      <c r="K8" s="77">
        <v>100</v>
      </c>
      <c r="L8" s="77">
        <v>100</v>
      </c>
      <c r="M8" s="77">
        <v>100</v>
      </c>
    </row>
    <row r="9" spans="1:17" ht="72.75" customHeight="1" x14ac:dyDescent="0.25">
      <c r="A9" s="121" t="s">
        <v>250</v>
      </c>
      <c r="B9" s="91" t="s">
        <v>113</v>
      </c>
      <c r="C9" s="24" t="s">
        <v>96</v>
      </c>
      <c r="D9" s="124" t="s">
        <v>111</v>
      </c>
      <c r="E9" s="6">
        <v>85</v>
      </c>
      <c r="F9" s="78">
        <v>97</v>
      </c>
      <c r="G9" s="125">
        <v>100</v>
      </c>
      <c r="H9" s="125">
        <v>100</v>
      </c>
      <c r="I9" s="125">
        <v>100</v>
      </c>
      <c r="J9" s="125">
        <v>100</v>
      </c>
      <c r="K9" s="125">
        <v>100</v>
      </c>
      <c r="L9" s="77">
        <v>100</v>
      </c>
      <c r="M9" s="77">
        <v>100</v>
      </c>
    </row>
    <row r="10" spans="1:17" ht="105" customHeight="1" x14ac:dyDescent="0.25">
      <c r="A10" s="121" t="s">
        <v>251</v>
      </c>
      <c r="B10" s="91" t="s">
        <v>252</v>
      </c>
      <c r="C10" s="24" t="s">
        <v>96</v>
      </c>
      <c r="D10" s="76" t="s">
        <v>111</v>
      </c>
      <c r="E10" s="126">
        <v>0</v>
      </c>
      <c r="F10" s="127">
        <v>0</v>
      </c>
      <c r="G10" s="77">
        <v>0</v>
      </c>
      <c r="H10" s="77">
        <v>100</v>
      </c>
      <c r="I10" s="77">
        <v>100</v>
      </c>
      <c r="J10" s="77">
        <v>100</v>
      </c>
      <c r="K10" s="77">
        <v>100</v>
      </c>
      <c r="L10" s="77">
        <v>100</v>
      </c>
      <c r="M10" s="77">
        <v>100</v>
      </c>
      <c r="N10" s="128"/>
      <c r="O10" s="128"/>
      <c r="P10" s="128"/>
      <c r="Q10" s="128"/>
    </row>
    <row r="11" spans="1:17" ht="118.5" customHeight="1" x14ac:dyDescent="0.25">
      <c r="A11" s="121" t="s">
        <v>253</v>
      </c>
      <c r="B11" s="129" t="s">
        <v>254</v>
      </c>
      <c r="C11" s="24" t="s">
        <v>96</v>
      </c>
      <c r="D11" s="76" t="s">
        <v>111</v>
      </c>
      <c r="E11" s="22" t="s">
        <v>119</v>
      </c>
      <c r="F11" s="77" t="s">
        <v>120</v>
      </c>
      <c r="G11" s="77">
        <v>0</v>
      </c>
      <c r="H11" s="77">
        <v>0</v>
      </c>
      <c r="I11" s="77" t="s">
        <v>120</v>
      </c>
      <c r="J11" s="77" t="s">
        <v>120</v>
      </c>
      <c r="K11" s="77" t="s">
        <v>120</v>
      </c>
      <c r="L11" s="77" t="s">
        <v>120</v>
      </c>
      <c r="M11" s="77" t="s">
        <v>120</v>
      </c>
      <c r="N11" s="128"/>
      <c r="O11" s="128"/>
      <c r="P11" s="128"/>
      <c r="Q11" s="128"/>
    </row>
    <row r="12" spans="1:17" ht="20.25" customHeight="1" x14ac:dyDescent="0.25">
      <c r="A12" s="130"/>
      <c r="B12" s="131"/>
      <c r="C12" s="132"/>
      <c r="D12" s="133"/>
      <c r="E12" s="133"/>
      <c r="F12" s="133"/>
      <c r="G12" s="133"/>
      <c r="H12" s="134"/>
      <c r="I12" s="134"/>
      <c r="J12" s="134"/>
    </row>
    <row r="13" spans="1:17" ht="26.25" customHeight="1" x14ac:dyDescent="0.25">
      <c r="A13" s="135" t="s">
        <v>33</v>
      </c>
      <c r="B13" s="135"/>
      <c r="C13" s="135"/>
      <c r="G13" s="52"/>
      <c r="H13" s="136" t="s">
        <v>255</v>
      </c>
      <c r="I13" s="136"/>
      <c r="J13" s="137"/>
    </row>
  </sheetData>
  <mergeCells count="17">
    <mergeCell ref="M3:M5"/>
    <mergeCell ref="A6:L6"/>
    <mergeCell ref="E1:J1"/>
    <mergeCell ref="A2:J2"/>
    <mergeCell ref="A3:A5"/>
    <mergeCell ref="B3:B5"/>
    <mergeCell ref="C3:C5"/>
    <mergeCell ref="D3:D5"/>
    <mergeCell ref="E3:E5"/>
    <mergeCell ref="F3:F5"/>
    <mergeCell ref="G3:G5"/>
    <mergeCell ref="H3:H5"/>
    <mergeCell ref="A7:L7"/>
    <mergeCell ref="I3:I5"/>
    <mergeCell ref="J3:J5"/>
    <mergeCell ref="K3:K5"/>
    <mergeCell ref="L3:L5"/>
  </mergeCells>
  <pageMargins left="0.51181102362204722" right="0.51181102362204722" top="0.55118110236220474" bottom="0.35433070866141736" header="0.31496062992125984" footer="0.31496062992125984"/>
  <pageSetup paperSize="9" scale="67" fitToHeight="4" orientation="landscape" r:id="rId1"/>
  <headerFooter differentFirst="1">
    <oddHeader>&amp;C&amp;P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U94"/>
  <sheetViews>
    <sheetView view="pageBreakPreview" zoomScale="98" zoomScaleNormal="98" zoomScaleSheetLayoutView="98" workbookViewId="0">
      <pane xSplit="3" ySplit="6" topLeftCell="Q53" activePane="bottomRight" state="frozen"/>
      <selection activeCell="Q12" sqref="Q12"/>
      <selection pane="topRight" activeCell="Q12" sqref="Q12"/>
      <selection pane="bottomLeft" activeCell="Q12" sqref="Q12"/>
      <selection pane="bottomRight" activeCell="C1" sqref="C1"/>
    </sheetView>
  </sheetViews>
  <sheetFormatPr defaultColWidth="9.28515625" defaultRowHeight="15.75" x14ac:dyDescent="0.25"/>
  <cols>
    <col min="1" max="1" width="8.42578125" style="171" customWidth="1"/>
    <col min="2" max="2" width="60.7109375" style="35" customWidth="1"/>
    <col min="3" max="3" width="21.7109375" style="172" customWidth="1"/>
    <col min="4" max="5" width="9.28515625" style="172"/>
    <col min="6" max="6" width="13.85546875" style="172" bestFit="1" customWidth="1"/>
    <col min="7" max="7" width="9.28515625" style="172"/>
    <col min="8" max="8" width="14.28515625" style="172" customWidth="1"/>
    <col min="9" max="10" width="17.7109375" style="35" customWidth="1"/>
    <col min="11" max="16" width="18.28515625" style="35" customWidth="1"/>
    <col min="17" max="17" width="17.7109375" style="35" customWidth="1"/>
    <col min="18" max="18" width="55.5703125" style="35" customWidth="1"/>
    <col min="19" max="19" width="12" style="35" customWidth="1"/>
    <col min="20" max="20" width="15.42578125" style="35" customWidth="1"/>
    <col min="21" max="21" width="21.28515625" style="35" customWidth="1"/>
    <col min="22" max="16384" width="9.28515625" style="35"/>
  </cols>
  <sheetData>
    <row r="1" spans="1:21" s="115" customFormat="1" ht="75" customHeight="1" x14ac:dyDescent="0.25">
      <c r="A1" s="138"/>
      <c r="B1" s="139"/>
      <c r="C1" s="140"/>
      <c r="D1" s="140"/>
      <c r="E1" s="140"/>
      <c r="F1" s="140"/>
      <c r="G1" s="140"/>
      <c r="H1" s="140"/>
      <c r="I1" s="415"/>
      <c r="J1" s="415"/>
      <c r="Q1" s="416" t="s">
        <v>256</v>
      </c>
      <c r="R1" s="416"/>
      <c r="S1" s="141"/>
      <c r="T1" s="141"/>
      <c r="U1" s="141"/>
    </row>
    <row r="2" spans="1:21" s="115" customFormat="1" ht="23.25" customHeight="1" x14ac:dyDescent="0.25">
      <c r="A2" s="417" t="s">
        <v>257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s="417"/>
    </row>
    <row r="3" spans="1:21" s="115" customFormat="1" ht="24.75" customHeight="1" x14ac:dyDescent="0.25">
      <c r="A3" s="305" t="s">
        <v>88</v>
      </c>
      <c r="B3" s="305" t="s">
        <v>258</v>
      </c>
      <c r="C3" s="305" t="s">
        <v>7</v>
      </c>
      <c r="D3" s="305" t="s">
        <v>5</v>
      </c>
      <c r="E3" s="305"/>
      <c r="F3" s="305"/>
      <c r="G3" s="305"/>
      <c r="H3" s="6"/>
      <c r="I3" s="305" t="s">
        <v>6</v>
      </c>
      <c r="J3" s="305"/>
      <c r="K3" s="305"/>
      <c r="L3" s="305"/>
      <c r="M3" s="305"/>
      <c r="N3" s="305"/>
      <c r="O3" s="305"/>
      <c r="P3" s="305"/>
      <c r="Q3" s="305"/>
      <c r="R3" s="305" t="s">
        <v>259</v>
      </c>
    </row>
    <row r="4" spans="1:21" s="115" customFormat="1" ht="42" customHeight="1" x14ac:dyDescent="0.25">
      <c r="A4" s="305"/>
      <c r="B4" s="305"/>
      <c r="C4" s="305"/>
      <c r="D4" s="6" t="s">
        <v>7</v>
      </c>
      <c r="E4" s="6" t="s">
        <v>8</v>
      </c>
      <c r="F4" s="6" t="s">
        <v>9</v>
      </c>
      <c r="G4" s="6" t="s">
        <v>10</v>
      </c>
      <c r="H4" s="6">
        <v>2014</v>
      </c>
      <c r="I4" s="6">
        <v>2015</v>
      </c>
      <c r="J4" s="6">
        <v>2016</v>
      </c>
      <c r="K4" s="6">
        <v>2017</v>
      </c>
      <c r="L4" s="6">
        <v>2018</v>
      </c>
      <c r="M4" s="6">
        <v>2019</v>
      </c>
      <c r="N4" s="6">
        <v>2020</v>
      </c>
      <c r="O4" s="6">
        <v>2021</v>
      </c>
      <c r="P4" s="6">
        <v>2022</v>
      </c>
      <c r="Q4" s="6" t="s">
        <v>11</v>
      </c>
      <c r="R4" s="305"/>
    </row>
    <row r="5" spans="1:21" ht="26.25" customHeight="1" x14ac:dyDescent="0.25">
      <c r="A5" s="312" t="s">
        <v>247</v>
      </c>
      <c r="B5" s="312"/>
      <c r="C5" s="312"/>
      <c r="D5" s="312"/>
      <c r="E5" s="312"/>
      <c r="F5" s="312"/>
      <c r="G5" s="312"/>
      <c r="H5" s="312"/>
      <c r="I5" s="312"/>
      <c r="J5" s="312"/>
      <c r="K5" s="312"/>
      <c r="L5" s="312"/>
      <c r="M5" s="312"/>
      <c r="N5" s="312"/>
      <c r="O5" s="312"/>
      <c r="P5" s="312"/>
      <c r="Q5" s="312"/>
      <c r="R5" s="312"/>
    </row>
    <row r="6" spans="1:21" ht="24" customHeight="1" x14ac:dyDescent="0.25">
      <c r="A6" s="407" t="s">
        <v>248</v>
      </c>
      <c r="B6" s="407"/>
      <c r="C6" s="407"/>
      <c r="D6" s="407"/>
      <c r="E6" s="407"/>
      <c r="F6" s="407"/>
      <c r="G6" s="407"/>
      <c r="H6" s="407"/>
      <c r="I6" s="407"/>
      <c r="J6" s="407"/>
      <c r="K6" s="407"/>
      <c r="L6" s="407"/>
      <c r="M6" s="407"/>
      <c r="N6" s="407"/>
      <c r="O6" s="407"/>
      <c r="P6" s="407"/>
      <c r="Q6" s="407"/>
      <c r="R6" s="407"/>
    </row>
    <row r="7" spans="1:21" ht="24.95" customHeight="1" x14ac:dyDescent="0.25">
      <c r="A7" s="408" t="s">
        <v>109</v>
      </c>
      <c r="B7" s="411" t="s">
        <v>260</v>
      </c>
      <c r="C7" s="408" t="s">
        <v>261</v>
      </c>
      <c r="D7" s="142" t="s">
        <v>18</v>
      </c>
      <c r="E7" s="142" t="s">
        <v>262</v>
      </c>
      <c r="F7" s="142" t="s">
        <v>263</v>
      </c>
      <c r="G7" s="142" t="s">
        <v>264</v>
      </c>
      <c r="H7" s="143">
        <v>69765.3</v>
      </c>
      <c r="I7" s="143">
        <v>78566.5</v>
      </c>
      <c r="J7" s="143">
        <v>53980.2</v>
      </c>
      <c r="K7" s="144">
        <v>48275.5</v>
      </c>
      <c r="L7" s="144">
        <v>47527.3</v>
      </c>
      <c r="M7" s="144">
        <v>50727.1</v>
      </c>
      <c r="N7" s="144">
        <v>47531.6</v>
      </c>
      <c r="O7" s="144">
        <v>47531.6</v>
      </c>
      <c r="P7" s="144">
        <f>O7</f>
        <v>47531.6</v>
      </c>
      <c r="Q7" s="144">
        <f>SUM(H7:P7)</f>
        <v>491436.6999999999</v>
      </c>
      <c r="R7" s="300" t="s">
        <v>265</v>
      </c>
    </row>
    <row r="8" spans="1:21" ht="24.95" customHeight="1" x14ac:dyDescent="0.25">
      <c r="A8" s="409"/>
      <c r="B8" s="412"/>
      <c r="C8" s="409"/>
      <c r="D8" s="142" t="s">
        <v>18</v>
      </c>
      <c r="E8" s="142" t="s">
        <v>262</v>
      </c>
      <c r="F8" s="142" t="s">
        <v>263</v>
      </c>
      <c r="G8" s="142" t="s">
        <v>266</v>
      </c>
      <c r="H8" s="143">
        <v>2247.3000000000002</v>
      </c>
      <c r="I8" s="143">
        <v>6941.5</v>
      </c>
      <c r="J8" s="143">
        <v>7305.1</v>
      </c>
      <c r="K8" s="144">
        <v>3060.4</v>
      </c>
      <c r="L8" s="144">
        <v>788.7</v>
      </c>
      <c r="M8" s="144">
        <v>2751.6</v>
      </c>
      <c r="N8" s="144"/>
      <c r="O8" s="144"/>
      <c r="P8" s="144">
        <f t="shared" ref="P8:P54" si="0">O8</f>
        <v>0</v>
      </c>
      <c r="Q8" s="144">
        <f t="shared" ref="Q8:Q54" si="1">SUM(H8:P8)</f>
        <v>23094.600000000002</v>
      </c>
      <c r="R8" s="301"/>
    </row>
    <row r="9" spans="1:21" ht="24.95" customHeight="1" x14ac:dyDescent="0.25">
      <c r="A9" s="409"/>
      <c r="B9" s="412"/>
      <c r="C9" s="409"/>
      <c r="D9" s="142" t="s">
        <v>18</v>
      </c>
      <c r="E9" s="142" t="s">
        <v>262</v>
      </c>
      <c r="F9" s="142" t="s">
        <v>263</v>
      </c>
      <c r="G9" s="142" t="s">
        <v>267</v>
      </c>
      <c r="H9" s="143">
        <v>11537</v>
      </c>
      <c r="I9" s="143">
        <v>12269.9</v>
      </c>
      <c r="J9" s="143">
        <v>8827.4</v>
      </c>
      <c r="K9" s="144">
        <v>7585.8</v>
      </c>
      <c r="L9" s="144">
        <v>7298.7</v>
      </c>
      <c r="M9" s="144">
        <v>7660.9</v>
      </c>
      <c r="N9" s="144">
        <v>7565.1</v>
      </c>
      <c r="O9" s="144">
        <v>7565.1</v>
      </c>
      <c r="P9" s="144">
        <f t="shared" si="0"/>
        <v>7565.1</v>
      </c>
      <c r="Q9" s="144">
        <f t="shared" si="1"/>
        <v>77875.000000000015</v>
      </c>
      <c r="R9" s="301"/>
    </row>
    <row r="10" spans="1:21" ht="24.95" customHeight="1" x14ac:dyDescent="0.25">
      <c r="A10" s="409"/>
      <c r="B10" s="412"/>
      <c r="C10" s="409"/>
      <c r="D10" s="142" t="s">
        <v>18</v>
      </c>
      <c r="E10" s="142" t="s">
        <v>262</v>
      </c>
      <c r="F10" s="142" t="s">
        <v>263</v>
      </c>
      <c r="G10" s="142" t="s">
        <v>268</v>
      </c>
      <c r="H10" s="143">
        <v>180</v>
      </c>
      <c r="I10" s="143">
        <v>1248.0999999999999</v>
      </c>
      <c r="J10" s="143">
        <v>101.9</v>
      </c>
      <c r="K10" s="144">
        <v>10</v>
      </c>
      <c r="L10" s="144"/>
      <c r="M10" s="144"/>
      <c r="N10" s="144"/>
      <c r="O10" s="144"/>
      <c r="P10" s="144">
        <f t="shared" si="0"/>
        <v>0</v>
      </c>
      <c r="Q10" s="144">
        <f t="shared" si="1"/>
        <v>1540</v>
      </c>
      <c r="R10" s="301"/>
    </row>
    <row r="11" spans="1:21" ht="24.95" customHeight="1" x14ac:dyDescent="0.25">
      <c r="A11" s="409"/>
      <c r="B11" s="412"/>
      <c r="C11" s="409"/>
      <c r="D11" s="142" t="s">
        <v>18</v>
      </c>
      <c r="E11" s="142" t="s">
        <v>262</v>
      </c>
      <c r="F11" s="142" t="s">
        <v>269</v>
      </c>
      <c r="G11" s="142" t="s">
        <v>264</v>
      </c>
      <c r="H11" s="143">
        <v>5961.4</v>
      </c>
      <c r="I11" s="143">
        <v>10099.9</v>
      </c>
      <c r="J11" s="143">
        <v>13561.6</v>
      </c>
      <c r="K11" s="144">
        <v>14858.8</v>
      </c>
      <c r="L11" s="144">
        <v>19814.900000000001</v>
      </c>
      <c r="M11" s="144">
        <v>28534.2</v>
      </c>
      <c r="N11" s="144">
        <v>13583.6</v>
      </c>
      <c r="O11" s="144">
        <v>13583.6</v>
      </c>
      <c r="P11" s="144">
        <f t="shared" si="0"/>
        <v>13583.6</v>
      </c>
      <c r="Q11" s="144">
        <f t="shared" si="1"/>
        <v>133581.6</v>
      </c>
      <c r="R11" s="301"/>
    </row>
    <row r="12" spans="1:21" ht="24.95" customHeight="1" x14ac:dyDescent="0.25">
      <c r="A12" s="409"/>
      <c r="B12" s="412"/>
      <c r="C12" s="409"/>
      <c r="D12" s="142" t="s">
        <v>18</v>
      </c>
      <c r="E12" s="142" t="s">
        <v>262</v>
      </c>
      <c r="F12" s="142" t="s">
        <v>269</v>
      </c>
      <c r="G12" s="142" t="s">
        <v>267</v>
      </c>
      <c r="H12" s="143">
        <v>1142</v>
      </c>
      <c r="I12" s="143">
        <v>1752.1</v>
      </c>
      <c r="J12" s="143">
        <v>2506</v>
      </c>
      <c r="K12" s="144">
        <v>2673.8</v>
      </c>
      <c r="L12" s="144">
        <v>3359.1</v>
      </c>
      <c r="M12" s="144">
        <v>4329.8999999999996</v>
      </c>
      <c r="N12" s="144">
        <v>2046.3</v>
      </c>
      <c r="O12" s="144">
        <v>2046.3</v>
      </c>
      <c r="P12" s="144">
        <f t="shared" si="0"/>
        <v>2046.3</v>
      </c>
      <c r="Q12" s="144">
        <f t="shared" si="1"/>
        <v>21901.8</v>
      </c>
      <c r="R12" s="301"/>
    </row>
    <row r="13" spans="1:21" ht="24.95" customHeight="1" x14ac:dyDescent="0.25">
      <c r="A13" s="409"/>
      <c r="B13" s="412"/>
      <c r="C13" s="409"/>
      <c r="D13" s="145" t="s">
        <v>18</v>
      </c>
      <c r="E13" s="145" t="s">
        <v>262</v>
      </c>
      <c r="F13" s="145" t="s">
        <v>270</v>
      </c>
      <c r="G13" s="145" t="s">
        <v>266</v>
      </c>
      <c r="H13" s="146"/>
      <c r="I13" s="146"/>
      <c r="J13" s="146"/>
      <c r="K13" s="146"/>
      <c r="L13" s="146">
        <v>0</v>
      </c>
      <c r="M13" s="146">
        <v>50</v>
      </c>
      <c r="N13" s="144">
        <v>50</v>
      </c>
      <c r="O13" s="144">
        <v>50</v>
      </c>
      <c r="P13" s="144">
        <f t="shared" si="0"/>
        <v>50</v>
      </c>
      <c r="Q13" s="144">
        <f t="shared" si="1"/>
        <v>200</v>
      </c>
      <c r="R13" s="301"/>
    </row>
    <row r="14" spans="1:21" ht="24.95" customHeight="1" x14ac:dyDescent="0.25">
      <c r="A14" s="409"/>
      <c r="B14" s="412"/>
      <c r="C14" s="409"/>
      <c r="D14" s="145" t="s">
        <v>18</v>
      </c>
      <c r="E14" s="145" t="s">
        <v>262</v>
      </c>
      <c r="F14" s="145" t="s">
        <v>270</v>
      </c>
      <c r="G14" s="145" t="s">
        <v>266</v>
      </c>
      <c r="H14" s="146">
        <v>0</v>
      </c>
      <c r="I14" s="146">
        <v>0</v>
      </c>
      <c r="J14" s="146">
        <v>2</v>
      </c>
      <c r="K14" s="146">
        <v>0</v>
      </c>
      <c r="L14" s="146">
        <v>0</v>
      </c>
      <c r="M14" s="146">
        <v>1000</v>
      </c>
      <c r="N14" s="144">
        <v>0</v>
      </c>
      <c r="O14" s="144">
        <v>0</v>
      </c>
      <c r="P14" s="144">
        <f t="shared" si="0"/>
        <v>0</v>
      </c>
      <c r="Q14" s="144">
        <f t="shared" si="1"/>
        <v>1002</v>
      </c>
      <c r="R14" s="301"/>
    </row>
    <row r="15" spans="1:21" ht="24.95" customHeight="1" x14ac:dyDescent="0.25">
      <c r="A15" s="409"/>
      <c r="B15" s="413"/>
      <c r="C15" s="410"/>
      <c r="D15" s="142" t="s">
        <v>18</v>
      </c>
      <c r="E15" s="142" t="s">
        <v>262</v>
      </c>
      <c r="F15" s="142" t="s">
        <v>271</v>
      </c>
      <c r="G15" s="142" t="s">
        <v>268</v>
      </c>
      <c r="H15" s="144">
        <v>0</v>
      </c>
      <c r="I15" s="144">
        <v>0</v>
      </c>
      <c r="J15" s="144">
        <v>0</v>
      </c>
      <c r="K15" s="144">
        <v>1</v>
      </c>
      <c r="L15" s="144">
        <v>0</v>
      </c>
      <c r="M15" s="144">
        <v>0</v>
      </c>
      <c r="N15" s="144">
        <v>0</v>
      </c>
      <c r="O15" s="144">
        <v>0</v>
      </c>
      <c r="P15" s="144">
        <f t="shared" si="0"/>
        <v>0</v>
      </c>
      <c r="Q15" s="144">
        <f t="shared" si="1"/>
        <v>1</v>
      </c>
      <c r="R15" s="301"/>
    </row>
    <row r="16" spans="1:21" ht="24.95" customHeight="1" x14ac:dyDescent="0.25">
      <c r="A16" s="409"/>
      <c r="B16" s="398" t="s">
        <v>272</v>
      </c>
      <c r="C16" s="323" t="s">
        <v>261</v>
      </c>
      <c r="D16" s="142" t="s">
        <v>273</v>
      </c>
      <c r="E16" s="142" t="s">
        <v>262</v>
      </c>
      <c r="F16" s="142" t="s">
        <v>274</v>
      </c>
      <c r="G16" s="142" t="s">
        <v>266</v>
      </c>
      <c r="H16" s="144">
        <v>0</v>
      </c>
      <c r="I16" s="144">
        <v>0</v>
      </c>
      <c r="J16" s="144">
        <v>141</v>
      </c>
      <c r="K16" s="144">
        <v>0</v>
      </c>
      <c r="L16" s="144">
        <v>0</v>
      </c>
      <c r="M16" s="144">
        <v>0</v>
      </c>
      <c r="N16" s="144">
        <v>0</v>
      </c>
      <c r="O16" s="144">
        <v>0</v>
      </c>
      <c r="P16" s="144">
        <f t="shared" si="0"/>
        <v>0</v>
      </c>
      <c r="Q16" s="144">
        <f t="shared" si="1"/>
        <v>141</v>
      </c>
      <c r="R16" s="301"/>
    </row>
    <row r="17" spans="1:18" ht="24.95" customHeight="1" x14ac:dyDescent="0.25">
      <c r="A17" s="409"/>
      <c r="B17" s="414"/>
      <c r="C17" s="324"/>
      <c r="D17" s="142" t="s">
        <v>273</v>
      </c>
      <c r="E17" s="142" t="s">
        <v>262</v>
      </c>
      <c r="F17" s="142" t="s">
        <v>274</v>
      </c>
      <c r="G17" s="142" t="s">
        <v>268</v>
      </c>
      <c r="H17" s="144">
        <v>0</v>
      </c>
      <c r="I17" s="144">
        <v>0</v>
      </c>
      <c r="J17" s="144">
        <v>0</v>
      </c>
      <c r="K17" s="144">
        <v>70.5</v>
      </c>
      <c r="L17" s="144">
        <v>0</v>
      </c>
      <c r="M17" s="144">
        <v>0</v>
      </c>
      <c r="N17" s="144">
        <v>0</v>
      </c>
      <c r="O17" s="144">
        <v>0</v>
      </c>
      <c r="P17" s="144">
        <f t="shared" si="0"/>
        <v>0</v>
      </c>
      <c r="Q17" s="144">
        <f t="shared" si="1"/>
        <v>70.5</v>
      </c>
      <c r="R17" s="301"/>
    </row>
    <row r="18" spans="1:18" ht="24.95" customHeight="1" x14ac:dyDescent="0.25">
      <c r="A18" s="409"/>
      <c r="B18" s="414"/>
      <c r="C18" s="324"/>
      <c r="D18" s="147" t="s">
        <v>18</v>
      </c>
      <c r="E18" s="147" t="s">
        <v>262</v>
      </c>
      <c r="F18" s="147" t="s">
        <v>275</v>
      </c>
      <c r="G18" s="147" t="s">
        <v>264</v>
      </c>
      <c r="H18" s="148">
        <v>55471</v>
      </c>
      <c r="I18" s="148">
        <v>64558.6</v>
      </c>
      <c r="J18" s="148">
        <v>62740.3</v>
      </c>
      <c r="K18" s="149">
        <v>67910</v>
      </c>
      <c r="L18" s="149">
        <v>69926.5</v>
      </c>
      <c r="M18" s="149">
        <v>78833.7</v>
      </c>
      <c r="N18" s="149">
        <v>70399.899999999994</v>
      </c>
      <c r="O18" s="149">
        <v>70399.899999999994</v>
      </c>
      <c r="P18" s="144">
        <f t="shared" si="0"/>
        <v>70399.899999999994</v>
      </c>
      <c r="Q18" s="144">
        <f t="shared" si="1"/>
        <v>610639.80000000005</v>
      </c>
      <c r="R18" s="301"/>
    </row>
    <row r="19" spans="1:18" ht="24.95" customHeight="1" x14ac:dyDescent="0.25">
      <c r="A19" s="409"/>
      <c r="B19" s="414"/>
      <c r="C19" s="324"/>
      <c r="D19" s="147" t="s">
        <v>18</v>
      </c>
      <c r="E19" s="147" t="s">
        <v>262</v>
      </c>
      <c r="F19" s="147" t="s">
        <v>275</v>
      </c>
      <c r="G19" s="147" t="s">
        <v>266</v>
      </c>
      <c r="H19" s="148">
        <v>216.4</v>
      </c>
      <c r="I19" s="148">
        <v>268.39999999999998</v>
      </c>
      <c r="J19" s="148">
        <v>343.4</v>
      </c>
      <c r="K19" s="149">
        <v>380.2</v>
      </c>
      <c r="L19" s="149">
        <v>337</v>
      </c>
      <c r="M19" s="149">
        <v>341</v>
      </c>
      <c r="N19" s="149">
        <v>341</v>
      </c>
      <c r="O19" s="149">
        <v>341</v>
      </c>
      <c r="P19" s="144">
        <f t="shared" si="0"/>
        <v>341</v>
      </c>
      <c r="Q19" s="144">
        <f t="shared" si="1"/>
        <v>2909.3999999999996</v>
      </c>
      <c r="R19" s="301"/>
    </row>
    <row r="20" spans="1:18" ht="24.95" customHeight="1" x14ac:dyDescent="0.25">
      <c r="A20" s="409"/>
      <c r="B20" s="414"/>
      <c r="C20" s="324"/>
      <c r="D20" s="147" t="s">
        <v>18</v>
      </c>
      <c r="E20" s="147" t="s">
        <v>262</v>
      </c>
      <c r="F20" s="147" t="s">
        <v>275</v>
      </c>
      <c r="G20" s="147" t="s">
        <v>267</v>
      </c>
      <c r="H20" s="148">
        <v>8073.9</v>
      </c>
      <c r="I20" s="148">
        <v>9286.4</v>
      </c>
      <c r="J20" s="148">
        <v>9020.2999999999993</v>
      </c>
      <c r="K20" s="149">
        <v>9425.2000000000007</v>
      </c>
      <c r="L20" s="149">
        <v>10547.1</v>
      </c>
      <c r="M20" s="149">
        <v>11997.2</v>
      </c>
      <c r="N20" s="149">
        <v>10204.799999999999</v>
      </c>
      <c r="O20" s="149">
        <v>10204.799999999999</v>
      </c>
      <c r="P20" s="144">
        <f t="shared" si="0"/>
        <v>10204.799999999999</v>
      </c>
      <c r="Q20" s="144">
        <f t="shared" si="1"/>
        <v>88964.500000000015</v>
      </c>
      <c r="R20" s="301"/>
    </row>
    <row r="21" spans="1:18" ht="24.95" customHeight="1" x14ac:dyDescent="0.25">
      <c r="A21" s="409"/>
      <c r="B21" s="414"/>
      <c r="C21" s="324"/>
      <c r="D21" s="147" t="s">
        <v>18</v>
      </c>
      <c r="E21" s="147" t="s">
        <v>262</v>
      </c>
      <c r="F21" s="147" t="s">
        <v>275</v>
      </c>
      <c r="G21" s="147" t="s">
        <v>276</v>
      </c>
      <c r="H21" s="148"/>
      <c r="I21" s="148"/>
      <c r="J21" s="148"/>
      <c r="K21" s="149">
        <v>0</v>
      </c>
      <c r="L21" s="149"/>
      <c r="M21" s="149"/>
      <c r="N21" s="149"/>
      <c r="O21" s="149"/>
      <c r="P21" s="144">
        <f t="shared" si="0"/>
        <v>0</v>
      </c>
      <c r="Q21" s="144">
        <f t="shared" si="1"/>
        <v>0</v>
      </c>
      <c r="R21" s="301"/>
    </row>
    <row r="22" spans="1:18" ht="24.95" customHeight="1" x14ac:dyDescent="0.25">
      <c r="A22" s="409"/>
      <c r="B22" s="414"/>
      <c r="C22" s="324"/>
      <c r="D22" s="147" t="s">
        <v>18</v>
      </c>
      <c r="E22" s="147" t="s">
        <v>262</v>
      </c>
      <c r="F22" s="147" t="s">
        <v>275</v>
      </c>
      <c r="G22" s="147" t="s">
        <v>266</v>
      </c>
      <c r="H22" s="148">
        <v>3478.6</v>
      </c>
      <c r="I22" s="148">
        <v>3595.8</v>
      </c>
      <c r="J22" s="148"/>
      <c r="K22" s="149">
        <v>0</v>
      </c>
      <c r="L22" s="149"/>
      <c r="M22" s="149"/>
      <c r="N22" s="149"/>
      <c r="O22" s="149"/>
      <c r="P22" s="144">
        <f t="shared" si="0"/>
        <v>0</v>
      </c>
      <c r="Q22" s="144">
        <f t="shared" si="1"/>
        <v>7074.4</v>
      </c>
      <c r="R22" s="301"/>
    </row>
    <row r="23" spans="1:18" ht="24.95" customHeight="1" x14ac:dyDescent="0.25">
      <c r="A23" s="409"/>
      <c r="B23" s="414"/>
      <c r="C23" s="324"/>
      <c r="D23" s="147" t="s">
        <v>18</v>
      </c>
      <c r="E23" s="147" t="s">
        <v>262</v>
      </c>
      <c r="F23" s="147" t="s">
        <v>275</v>
      </c>
      <c r="G23" s="147" t="s">
        <v>268</v>
      </c>
      <c r="H23" s="148">
        <v>486.3</v>
      </c>
      <c r="I23" s="148">
        <v>496.9</v>
      </c>
      <c r="J23" s="148"/>
      <c r="K23" s="149">
        <v>0</v>
      </c>
      <c r="L23" s="149"/>
      <c r="M23" s="149">
        <v>0</v>
      </c>
      <c r="N23" s="149">
        <v>275.5</v>
      </c>
      <c r="O23" s="149">
        <v>275.5</v>
      </c>
      <c r="P23" s="144">
        <f t="shared" si="0"/>
        <v>275.5</v>
      </c>
      <c r="Q23" s="144">
        <f t="shared" si="1"/>
        <v>1809.7</v>
      </c>
      <c r="R23" s="301"/>
    </row>
    <row r="24" spans="1:18" ht="24.95" customHeight="1" x14ac:dyDescent="0.25">
      <c r="A24" s="409"/>
      <c r="B24" s="414"/>
      <c r="C24" s="324"/>
      <c r="D24" s="147" t="s">
        <v>18</v>
      </c>
      <c r="E24" s="147" t="s">
        <v>262</v>
      </c>
      <c r="F24" s="147" t="s">
        <v>277</v>
      </c>
      <c r="G24" s="147" t="s">
        <v>264</v>
      </c>
      <c r="H24" s="148"/>
      <c r="I24" s="148"/>
      <c r="J24" s="148">
        <v>32757.9</v>
      </c>
      <c r="K24" s="149">
        <v>35111</v>
      </c>
      <c r="L24" s="149">
        <v>38950.400000000001</v>
      </c>
      <c r="M24" s="149">
        <v>38444.1</v>
      </c>
      <c r="N24" s="149">
        <v>35265.300000000003</v>
      </c>
      <c r="O24" s="149">
        <v>35265.300000000003</v>
      </c>
      <c r="P24" s="144">
        <f t="shared" si="0"/>
        <v>35265.300000000003</v>
      </c>
      <c r="Q24" s="144">
        <f t="shared" si="1"/>
        <v>251059.3</v>
      </c>
      <c r="R24" s="301"/>
    </row>
    <row r="25" spans="1:18" ht="24.95" customHeight="1" x14ac:dyDescent="0.25">
      <c r="A25" s="409"/>
      <c r="B25" s="414"/>
      <c r="C25" s="324"/>
      <c r="D25" s="147" t="s">
        <v>18</v>
      </c>
      <c r="E25" s="147" t="s">
        <v>262</v>
      </c>
      <c r="F25" s="147" t="s">
        <v>277</v>
      </c>
      <c r="G25" s="147" t="s">
        <v>266</v>
      </c>
      <c r="H25" s="148"/>
      <c r="I25" s="148"/>
      <c r="J25" s="148">
        <v>762.6</v>
      </c>
      <c r="K25" s="149">
        <v>412</v>
      </c>
      <c r="L25" s="149">
        <v>357</v>
      </c>
      <c r="M25" s="149">
        <v>290</v>
      </c>
      <c r="N25" s="149">
        <v>290</v>
      </c>
      <c r="O25" s="149">
        <v>290</v>
      </c>
      <c r="P25" s="144">
        <f t="shared" si="0"/>
        <v>290</v>
      </c>
      <c r="Q25" s="144">
        <f t="shared" si="1"/>
        <v>2691.6</v>
      </c>
      <c r="R25" s="301"/>
    </row>
    <row r="26" spans="1:18" ht="24.95" customHeight="1" x14ac:dyDescent="0.25">
      <c r="A26" s="409"/>
      <c r="B26" s="414"/>
      <c r="C26" s="324"/>
      <c r="D26" s="147" t="s">
        <v>18</v>
      </c>
      <c r="E26" s="147" t="s">
        <v>262</v>
      </c>
      <c r="F26" s="147" t="s">
        <v>277</v>
      </c>
      <c r="G26" s="147" t="s">
        <v>267</v>
      </c>
      <c r="H26" s="148"/>
      <c r="I26" s="148"/>
      <c r="J26" s="148">
        <v>4635</v>
      </c>
      <c r="K26" s="149">
        <v>4958.6000000000004</v>
      </c>
      <c r="L26" s="149">
        <v>5314.3</v>
      </c>
      <c r="M26" s="149">
        <v>6410.3</v>
      </c>
      <c r="N26" s="149">
        <v>4907.8999999999996</v>
      </c>
      <c r="O26" s="149">
        <v>4907.8999999999996</v>
      </c>
      <c r="P26" s="144">
        <f t="shared" si="0"/>
        <v>4907.8999999999996</v>
      </c>
      <c r="Q26" s="144">
        <f t="shared" si="1"/>
        <v>36041.9</v>
      </c>
      <c r="R26" s="301"/>
    </row>
    <row r="27" spans="1:18" ht="24.95" customHeight="1" x14ac:dyDescent="0.25">
      <c r="A27" s="409"/>
      <c r="B27" s="414"/>
      <c r="C27" s="324"/>
      <c r="D27" s="147" t="s">
        <v>18</v>
      </c>
      <c r="E27" s="147" t="s">
        <v>262</v>
      </c>
      <c r="F27" s="147" t="s">
        <v>277</v>
      </c>
      <c r="G27" s="147" t="s">
        <v>268</v>
      </c>
      <c r="H27" s="148"/>
      <c r="I27" s="148"/>
      <c r="J27" s="148">
        <v>89.5</v>
      </c>
      <c r="K27" s="149">
        <v>0</v>
      </c>
      <c r="L27" s="149"/>
      <c r="M27" s="149"/>
      <c r="N27" s="149"/>
      <c r="O27" s="149"/>
      <c r="P27" s="144">
        <f t="shared" si="0"/>
        <v>0</v>
      </c>
      <c r="Q27" s="144">
        <f t="shared" si="1"/>
        <v>89.5</v>
      </c>
      <c r="R27" s="301"/>
    </row>
    <row r="28" spans="1:18" ht="24.95" customHeight="1" x14ac:dyDescent="0.25">
      <c r="A28" s="409"/>
      <c r="B28" s="414"/>
      <c r="C28" s="324"/>
      <c r="D28" s="147" t="s">
        <v>18</v>
      </c>
      <c r="E28" s="147" t="s">
        <v>262</v>
      </c>
      <c r="F28" s="142" t="s">
        <v>278</v>
      </c>
      <c r="G28" s="147" t="s">
        <v>267</v>
      </c>
      <c r="H28" s="148"/>
      <c r="I28" s="148"/>
      <c r="J28" s="148"/>
      <c r="K28" s="149"/>
      <c r="L28" s="149">
        <v>102.6</v>
      </c>
      <c r="M28" s="149"/>
      <c r="N28" s="149"/>
      <c r="O28" s="149"/>
      <c r="P28" s="144">
        <f t="shared" si="0"/>
        <v>0</v>
      </c>
      <c r="Q28" s="144">
        <f t="shared" si="1"/>
        <v>102.6</v>
      </c>
      <c r="R28" s="301"/>
    </row>
    <row r="29" spans="1:18" ht="24.95" customHeight="1" x14ac:dyDescent="0.25">
      <c r="A29" s="409"/>
      <c r="B29" s="414"/>
      <c r="C29" s="324"/>
      <c r="D29" s="147" t="s">
        <v>18</v>
      </c>
      <c r="E29" s="147" t="s">
        <v>262</v>
      </c>
      <c r="F29" s="142" t="s">
        <v>279</v>
      </c>
      <c r="G29" s="147" t="s">
        <v>264</v>
      </c>
      <c r="H29" s="148"/>
      <c r="I29" s="148"/>
      <c r="J29" s="148"/>
      <c r="K29" s="149"/>
      <c r="L29" s="149">
        <v>613.20000000000005</v>
      </c>
      <c r="M29" s="149"/>
      <c r="N29" s="149"/>
      <c r="O29" s="149"/>
      <c r="P29" s="144">
        <f t="shared" si="0"/>
        <v>0</v>
      </c>
      <c r="Q29" s="144">
        <f t="shared" si="1"/>
        <v>613.20000000000005</v>
      </c>
      <c r="R29" s="301"/>
    </row>
    <row r="30" spans="1:18" ht="24.95" customHeight="1" x14ac:dyDescent="0.25">
      <c r="A30" s="409"/>
      <c r="B30" s="414"/>
      <c r="C30" s="324"/>
      <c r="D30" s="147" t="s">
        <v>18</v>
      </c>
      <c r="E30" s="147" t="s">
        <v>262</v>
      </c>
      <c r="F30" s="142" t="s">
        <v>280</v>
      </c>
      <c r="G30" s="147" t="s">
        <v>266</v>
      </c>
      <c r="H30" s="148"/>
      <c r="I30" s="148"/>
      <c r="J30" s="148"/>
      <c r="K30" s="149">
        <v>99</v>
      </c>
      <c r="L30" s="149"/>
      <c r="M30" s="149"/>
      <c r="N30" s="149"/>
      <c r="O30" s="149"/>
      <c r="P30" s="144">
        <f t="shared" si="0"/>
        <v>0</v>
      </c>
      <c r="Q30" s="144">
        <f t="shared" si="1"/>
        <v>99</v>
      </c>
      <c r="R30" s="301"/>
    </row>
    <row r="31" spans="1:18" ht="24.95" customHeight="1" x14ac:dyDescent="0.25">
      <c r="A31" s="409"/>
      <c r="B31" s="414"/>
      <c r="C31" s="324"/>
      <c r="D31" s="147" t="s">
        <v>18</v>
      </c>
      <c r="E31" s="147" t="s">
        <v>262</v>
      </c>
      <c r="F31" s="147" t="s">
        <v>281</v>
      </c>
      <c r="G31" s="147" t="s">
        <v>264</v>
      </c>
      <c r="H31" s="148">
        <v>181.4</v>
      </c>
      <c r="I31" s="148"/>
      <c r="J31" s="148"/>
      <c r="K31" s="149"/>
      <c r="L31" s="149"/>
      <c r="M31" s="149"/>
      <c r="N31" s="149"/>
      <c r="O31" s="149"/>
      <c r="P31" s="144">
        <f t="shared" si="0"/>
        <v>0</v>
      </c>
      <c r="Q31" s="144">
        <f t="shared" si="1"/>
        <v>181.4</v>
      </c>
      <c r="R31" s="301"/>
    </row>
    <row r="32" spans="1:18" ht="24.95" customHeight="1" x14ac:dyDescent="0.25">
      <c r="A32" s="409"/>
      <c r="B32" s="399"/>
      <c r="C32" s="362"/>
      <c r="D32" s="147" t="s">
        <v>18</v>
      </c>
      <c r="E32" s="147" t="s">
        <v>262</v>
      </c>
      <c r="F32" s="147" t="s">
        <v>281</v>
      </c>
      <c r="G32" s="147" t="s">
        <v>267</v>
      </c>
      <c r="H32" s="148">
        <v>35.299999999999997</v>
      </c>
      <c r="I32" s="148"/>
      <c r="J32" s="149"/>
      <c r="K32" s="149"/>
      <c r="L32" s="149"/>
      <c r="M32" s="149"/>
      <c r="N32" s="149"/>
      <c r="O32" s="149"/>
      <c r="P32" s="144">
        <f t="shared" si="0"/>
        <v>0</v>
      </c>
      <c r="Q32" s="144">
        <f t="shared" si="1"/>
        <v>35.299999999999997</v>
      </c>
      <c r="R32" s="301"/>
    </row>
    <row r="33" spans="1:18" ht="54.75" customHeight="1" x14ac:dyDescent="0.25">
      <c r="A33" s="410"/>
      <c r="B33" s="150" t="s">
        <v>282</v>
      </c>
      <c r="C33" s="78" t="s">
        <v>261</v>
      </c>
      <c r="D33" s="147" t="s">
        <v>18</v>
      </c>
      <c r="E33" s="147" t="s">
        <v>262</v>
      </c>
      <c r="F33" s="147" t="s">
        <v>15</v>
      </c>
      <c r="G33" s="147" t="s">
        <v>15</v>
      </c>
      <c r="H33" s="148">
        <v>13162.3</v>
      </c>
      <c r="I33" s="148">
        <v>12443.8</v>
      </c>
      <c r="J33" s="149">
        <v>16587.599999999999</v>
      </c>
      <c r="K33" s="149">
        <v>19415.5</v>
      </c>
      <c r="L33" s="149">
        <v>21251.4</v>
      </c>
      <c r="M33" s="149">
        <v>21768.400000000001</v>
      </c>
      <c r="N33" s="149">
        <v>21768.400000000001</v>
      </c>
      <c r="O33" s="149">
        <v>21768.400000000001</v>
      </c>
      <c r="P33" s="144">
        <f t="shared" si="0"/>
        <v>21768.400000000001</v>
      </c>
      <c r="Q33" s="144">
        <f t="shared" si="1"/>
        <v>169934.19999999998</v>
      </c>
      <c r="R33" s="319"/>
    </row>
    <row r="34" spans="1:18" ht="32.25" customHeight="1" x14ac:dyDescent="0.25">
      <c r="A34" s="395" t="s">
        <v>112</v>
      </c>
      <c r="B34" s="398" t="s">
        <v>283</v>
      </c>
      <c r="C34" s="323" t="s">
        <v>261</v>
      </c>
      <c r="D34" s="147" t="s">
        <v>18</v>
      </c>
      <c r="E34" s="147" t="s">
        <v>262</v>
      </c>
      <c r="F34" s="147" t="s">
        <v>284</v>
      </c>
      <c r="G34" s="147" t="s">
        <v>266</v>
      </c>
      <c r="H34" s="148">
        <v>2036.1</v>
      </c>
      <c r="I34" s="148"/>
      <c r="J34" s="148"/>
      <c r="K34" s="149"/>
      <c r="L34" s="149"/>
      <c r="M34" s="149"/>
      <c r="N34" s="149"/>
      <c r="O34" s="149"/>
      <c r="P34" s="144">
        <f t="shared" si="0"/>
        <v>0</v>
      </c>
      <c r="Q34" s="144">
        <f t="shared" si="1"/>
        <v>2036.1</v>
      </c>
      <c r="R34" s="400" t="s">
        <v>285</v>
      </c>
    </row>
    <row r="35" spans="1:18" ht="39" customHeight="1" x14ac:dyDescent="0.25">
      <c r="A35" s="396"/>
      <c r="B35" s="399"/>
      <c r="C35" s="362"/>
      <c r="D35" s="147" t="s">
        <v>18</v>
      </c>
      <c r="E35" s="147" t="s">
        <v>262</v>
      </c>
      <c r="F35" s="147" t="s">
        <v>286</v>
      </c>
      <c r="G35" s="147" t="s">
        <v>266</v>
      </c>
      <c r="H35" s="148">
        <v>511.1</v>
      </c>
      <c r="I35" s="148"/>
      <c r="J35" s="148"/>
      <c r="K35" s="149"/>
      <c r="L35" s="149"/>
      <c r="M35" s="149"/>
      <c r="N35" s="149"/>
      <c r="O35" s="149"/>
      <c r="P35" s="144">
        <f t="shared" si="0"/>
        <v>0</v>
      </c>
      <c r="Q35" s="144">
        <f t="shared" si="1"/>
        <v>511.1</v>
      </c>
      <c r="R35" s="401"/>
    </row>
    <row r="36" spans="1:18" ht="69" customHeight="1" x14ac:dyDescent="0.25">
      <c r="A36" s="397"/>
      <c r="B36" s="151" t="s">
        <v>287</v>
      </c>
      <c r="C36" s="78" t="s">
        <v>261</v>
      </c>
      <c r="D36" s="147" t="s">
        <v>18</v>
      </c>
      <c r="E36" s="147" t="s">
        <v>262</v>
      </c>
      <c r="F36" s="147" t="s">
        <v>288</v>
      </c>
      <c r="G36" s="147" t="s">
        <v>266</v>
      </c>
      <c r="H36" s="148">
        <v>20.5</v>
      </c>
      <c r="I36" s="148">
        <v>0</v>
      </c>
      <c r="J36" s="148">
        <v>0</v>
      </c>
      <c r="K36" s="149"/>
      <c r="L36" s="149"/>
      <c r="M36" s="149"/>
      <c r="N36" s="149"/>
      <c r="O36" s="149"/>
      <c r="P36" s="144">
        <f t="shared" si="0"/>
        <v>0</v>
      </c>
      <c r="Q36" s="144">
        <f t="shared" si="1"/>
        <v>20.5</v>
      </c>
      <c r="R36" s="402"/>
    </row>
    <row r="37" spans="1:18" s="55" customFormat="1" ht="35.25" customHeight="1" x14ac:dyDescent="0.25">
      <c r="A37" s="403" t="s">
        <v>114</v>
      </c>
      <c r="B37" s="405" t="s">
        <v>289</v>
      </c>
      <c r="C37" s="323" t="s">
        <v>261</v>
      </c>
      <c r="D37" s="147" t="s">
        <v>18</v>
      </c>
      <c r="E37" s="147" t="s">
        <v>262</v>
      </c>
      <c r="F37" s="147" t="s">
        <v>290</v>
      </c>
      <c r="G37" s="147" t="s">
        <v>266</v>
      </c>
      <c r="H37" s="148">
        <v>3.4</v>
      </c>
      <c r="I37" s="148">
        <v>3.4</v>
      </c>
      <c r="J37" s="148"/>
      <c r="K37" s="149"/>
      <c r="L37" s="149"/>
      <c r="M37" s="149"/>
      <c r="N37" s="149"/>
      <c r="O37" s="149"/>
      <c r="P37" s="144">
        <f t="shared" si="0"/>
        <v>0</v>
      </c>
      <c r="Q37" s="144">
        <f t="shared" si="1"/>
        <v>6.8</v>
      </c>
      <c r="R37" s="382"/>
    </row>
    <row r="38" spans="1:18" s="55" customFormat="1" ht="53.25" customHeight="1" x14ac:dyDescent="0.25">
      <c r="A38" s="404"/>
      <c r="B38" s="406"/>
      <c r="C38" s="362"/>
      <c r="D38" s="152" t="s">
        <v>18</v>
      </c>
      <c r="E38" s="152" t="s">
        <v>262</v>
      </c>
      <c r="F38" s="147" t="s">
        <v>290</v>
      </c>
      <c r="G38" s="147" t="s">
        <v>268</v>
      </c>
      <c r="H38" s="148">
        <v>0.6</v>
      </c>
      <c r="I38" s="148">
        <v>0.6</v>
      </c>
      <c r="J38" s="148"/>
      <c r="K38" s="149"/>
      <c r="L38" s="149"/>
      <c r="M38" s="149"/>
      <c r="N38" s="149"/>
      <c r="O38" s="149"/>
      <c r="P38" s="144">
        <f t="shared" si="0"/>
        <v>0</v>
      </c>
      <c r="Q38" s="144">
        <f t="shared" si="1"/>
        <v>1.2</v>
      </c>
      <c r="R38" s="383"/>
    </row>
    <row r="39" spans="1:18" ht="35.1" customHeight="1" x14ac:dyDescent="0.25">
      <c r="A39" s="391" t="s">
        <v>117</v>
      </c>
      <c r="B39" s="387" t="s">
        <v>291</v>
      </c>
      <c r="C39" s="323" t="s">
        <v>261</v>
      </c>
      <c r="D39" s="152" t="s">
        <v>18</v>
      </c>
      <c r="E39" s="152" t="s">
        <v>292</v>
      </c>
      <c r="F39" s="147" t="s">
        <v>293</v>
      </c>
      <c r="G39" s="147" t="s">
        <v>294</v>
      </c>
      <c r="H39" s="148">
        <v>2490.8000000000002</v>
      </c>
      <c r="I39" s="148">
        <v>2975.5</v>
      </c>
      <c r="J39" s="148">
        <v>5157.1000000000004</v>
      </c>
      <c r="K39" s="149">
        <v>3953.2</v>
      </c>
      <c r="L39" s="149">
        <f>3232.2-682.5</f>
        <v>2549.6999999999998</v>
      </c>
      <c r="M39" s="149">
        <v>3234.5</v>
      </c>
      <c r="N39" s="149">
        <v>3234.5</v>
      </c>
      <c r="O39" s="149">
        <v>3234.5</v>
      </c>
      <c r="P39" s="144">
        <f t="shared" si="0"/>
        <v>3234.5</v>
      </c>
      <c r="Q39" s="144">
        <f t="shared" si="1"/>
        <v>30064.300000000003</v>
      </c>
      <c r="R39" s="382" t="s">
        <v>295</v>
      </c>
    </row>
    <row r="40" spans="1:18" ht="45" customHeight="1" x14ac:dyDescent="0.25">
      <c r="A40" s="392"/>
      <c r="B40" s="388"/>
      <c r="C40" s="362"/>
      <c r="D40" s="152" t="s">
        <v>18</v>
      </c>
      <c r="E40" s="152" t="s">
        <v>292</v>
      </c>
      <c r="F40" s="147" t="s">
        <v>293</v>
      </c>
      <c r="G40" s="147" t="s">
        <v>296</v>
      </c>
      <c r="H40" s="148">
        <v>27</v>
      </c>
      <c r="I40" s="148"/>
      <c r="J40" s="148"/>
      <c r="K40" s="149"/>
      <c r="L40" s="149"/>
      <c r="M40" s="149"/>
      <c r="N40" s="149"/>
      <c r="O40" s="149"/>
      <c r="P40" s="144">
        <f t="shared" si="0"/>
        <v>0</v>
      </c>
      <c r="Q40" s="144">
        <f t="shared" si="1"/>
        <v>27</v>
      </c>
      <c r="R40" s="383"/>
    </row>
    <row r="41" spans="1:18" ht="35.1" customHeight="1" x14ac:dyDescent="0.25">
      <c r="A41" s="385" t="s">
        <v>297</v>
      </c>
      <c r="B41" s="393" t="s">
        <v>298</v>
      </c>
      <c r="C41" s="323" t="s">
        <v>261</v>
      </c>
      <c r="D41" s="147" t="s">
        <v>18</v>
      </c>
      <c r="E41" s="152" t="s">
        <v>262</v>
      </c>
      <c r="F41" s="152" t="s">
        <v>299</v>
      </c>
      <c r="G41" s="147" t="s">
        <v>266</v>
      </c>
      <c r="H41" s="148">
        <v>274.89999999999998</v>
      </c>
      <c r="I41" s="148">
        <v>279.10000000000002</v>
      </c>
      <c r="J41" s="148">
        <v>474.8</v>
      </c>
      <c r="K41" s="149">
        <v>380</v>
      </c>
      <c r="L41" s="149">
        <v>522.29999999999995</v>
      </c>
      <c r="M41" s="149">
        <v>576</v>
      </c>
      <c r="N41" s="149">
        <v>576</v>
      </c>
      <c r="O41" s="149">
        <v>576</v>
      </c>
      <c r="P41" s="144">
        <f t="shared" si="0"/>
        <v>576</v>
      </c>
      <c r="Q41" s="144">
        <f t="shared" si="1"/>
        <v>4235.1000000000004</v>
      </c>
      <c r="R41" s="382" t="s">
        <v>300</v>
      </c>
    </row>
    <row r="42" spans="1:18" ht="35.1" customHeight="1" x14ac:dyDescent="0.25">
      <c r="A42" s="386"/>
      <c r="B42" s="394"/>
      <c r="C42" s="362"/>
      <c r="D42" s="147" t="s">
        <v>18</v>
      </c>
      <c r="E42" s="152" t="s">
        <v>262</v>
      </c>
      <c r="F42" s="152" t="s">
        <v>299</v>
      </c>
      <c r="G42" s="147" t="s">
        <v>268</v>
      </c>
      <c r="H42" s="148">
        <v>19</v>
      </c>
      <c r="I42" s="148">
        <v>25.1</v>
      </c>
      <c r="J42" s="148">
        <v>36.799999999999997</v>
      </c>
      <c r="K42" s="149">
        <v>52.6</v>
      </c>
      <c r="L42" s="149">
        <v>76.7</v>
      </c>
      <c r="M42" s="149">
        <v>19.2</v>
      </c>
      <c r="N42" s="149">
        <v>19.2</v>
      </c>
      <c r="O42" s="149">
        <v>19.2</v>
      </c>
      <c r="P42" s="144">
        <f t="shared" si="0"/>
        <v>19.2</v>
      </c>
      <c r="Q42" s="144">
        <f t="shared" si="1"/>
        <v>286.99999999999994</v>
      </c>
      <c r="R42" s="383"/>
    </row>
    <row r="43" spans="1:18" ht="44.25" customHeight="1" x14ac:dyDescent="0.25">
      <c r="A43" s="385" t="s">
        <v>301</v>
      </c>
      <c r="B43" s="387" t="s">
        <v>302</v>
      </c>
      <c r="C43" s="323" t="s">
        <v>261</v>
      </c>
      <c r="D43" s="389" t="s">
        <v>18</v>
      </c>
      <c r="E43" s="147" t="s">
        <v>262</v>
      </c>
      <c r="F43" s="147" t="s">
        <v>303</v>
      </c>
      <c r="G43" s="147" t="s">
        <v>266</v>
      </c>
      <c r="H43" s="148">
        <v>4242.3</v>
      </c>
      <c r="I43" s="148">
        <v>0</v>
      </c>
      <c r="J43" s="148"/>
      <c r="K43" s="149"/>
      <c r="L43" s="149"/>
      <c r="M43" s="149"/>
      <c r="N43" s="148"/>
      <c r="O43" s="148"/>
      <c r="P43" s="144">
        <f t="shared" si="0"/>
        <v>0</v>
      </c>
      <c r="Q43" s="144">
        <f t="shared" si="1"/>
        <v>4242.3</v>
      </c>
      <c r="R43" s="382" t="s">
        <v>304</v>
      </c>
    </row>
    <row r="44" spans="1:18" ht="42" customHeight="1" x14ac:dyDescent="0.25">
      <c r="A44" s="386"/>
      <c r="B44" s="388"/>
      <c r="C44" s="324"/>
      <c r="D44" s="390"/>
      <c r="E44" s="147" t="s">
        <v>262</v>
      </c>
      <c r="F44" s="147" t="s">
        <v>305</v>
      </c>
      <c r="G44" s="147" t="s">
        <v>266</v>
      </c>
      <c r="H44" s="148">
        <v>15008.8</v>
      </c>
      <c r="I44" s="148"/>
      <c r="J44" s="148"/>
      <c r="K44" s="149"/>
      <c r="L44" s="149"/>
      <c r="M44" s="149"/>
      <c r="N44" s="148"/>
      <c r="O44" s="148"/>
      <c r="P44" s="144">
        <f t="shared" si="0"/>
        <v>0</v>
      </c>
      <c r="Q44" s="144">
        <f t="shared" si="1"/>
        <v>15008.8</v>
      </c>
      <c r="R44" s="383"/>
    </row>
    <row r="45" spans="1:18" ht="35.1" customHeight="1" x14ac:dyDescent="0.25">
      <c r="A45" s="153" t="s">
        <v>306</v>
      </c>
      <c r="B45" s="154" t="s">
        <v>307</v>
      </c>
      <c r="C45" s="362"/>
      <c r="D45" s="147" t="s">
        <v>18</v>
      </c>
      <c r="E45" s="147" t="s">
        <v>262</v>
      </c>
      <c r="F45" s="147" t="s">
        <v>308</v>
      </c>
      <c r="G45" s="147" t="s">
        <v>266</v>
      </c>
      <c r="H45" s="148">
        <v>1500.9</v>
      </c>
      <c r="I45" s="148"/>
      <c r="J45" s="148"/>
      <c r="K45" s="149"/>
      <c r="L45" s="149"/>
      <c r="M45" s="149"/>
      <c r="N45" s="148"/>
      <c r="O45" s="148"/>
      <c r="P45" s="144">
        <f t="shared" si="0"/>
        <v>0</v>
      </c>
      <c r="Q45" s="144">
        <f t="shared" si="1"/>
        <v>1500.9</v>
      </c>
      <c r="R45" s="155"/>
    </row>
    <row r="46" spans="1:18" ht="49.5" customHeight="1" x14ac:dyDescent="0.25">
      <c r="A46" s="385" t="s">
        <v>309</v>
      </c>
      <c r="B46" s="387" t="s">
        <v>310</v>
      </c>
      <c r="C46" s="323" t="s">
        <v>261</v>
      </c>
      <c r="D46" s="147" t="s">
        <v>18</v>
      </c>
      <c r="E46" s="147" t="s">
        <v>262</v>
      </c>
      <c r="F46" s="147" t="s">
        <v>311</v>
      </c>
      <c r="G46" s="147" t="s">
        <v>268</v>
      </c>
      <c r="H46" s="148">
        <v>2</v>
      </c>
      <c r="I46" s="148"/>
      <c r="J46" s="148"/>
      <c r="K46" s="149"/>
      <c r="L46" s="149"/>
      <c r="M46" s="149"/>
      <c r="N46" s="148"/>
      <c r="O46" s="148"/>
      <c r="P46" s="144">
        <f t="shared" si="0"/>
        <v>0</v>
      </c>
      <c r="Q46" s="144">
        <f t="shared" si="1"/>
        <v>2</v>
      </c>
      <c r="R46" s="382" t="s">
        <v>312</v>
      </c>
    </row>
    <row r="47" spans="1:18" ht="62.25" customHeight="1" x14ac:dyDescent="0.25">
      <c r="A47" s="386"/>
      <c r="B47" s="388"/>
      <c r="C47" s="362"/>
      <c r="D47" s="147" t="s">
        <v>18</v>
      </c>
      <c r="E47" s="147" t="s">
        <v>262</v>
      </c>
      <c r="F47" s="147" t="s">
        <v>311</v>
      </c>
      <c r="G47" s="147" t="s">
        <v>266</v>
      </c>
      <c r="H47" s="148">
        <v>3</v>
      </c>
      <c r="I47" s="148"/>
      <c r="J47" s="148"/>
      <c r="K47" s="149"/>
      <c r="L47" s="149"/>
      <c r="M47" s="149"/>
      <c r="N47" s="148"/>
      <c r="O47" s="148"/>
      <c r="P47" s="144">
        <f t="shared" si="0"/>
        <v>0</v>
      </c>
      <c r="Q47" s="144">
        <f t="shared" si="1"/>
        <v>3</v>
      </c>
      <c r="R47" s="383"/>
    </row>
    <row r="48" spans="1:18" ht="35.1" customHeight="1" x14ac:dyDescent="0.25">
      <c r="A48" s="381" t="s">
        <v>313</v>
      </c>
      <c r="B48" s="382" t="s">
        <v>314</v>
      </c>
      <c r="C48" s="323" t="s">
        <v>261</v>
      </c>
      <c r="D48" s="142" t="s">
        <v>18</v>
      </c>
      <c r="E48" s="142" t="s">
        <v>315</v>
      </c>
      <c r="F48" s="142" t="s">
        <v>316</v>
      </c>
      <c r="G48" s="6">
        <v>622</v>
      </c>
      <c r="H48" s="148">
        <v>13</v>
      </c>
      <c r="I48" s="148">
        <v>13</v>
      </c>
      <c r="J48" s="156"/>
      <c r="K48" s="157"/>
      <c r="L48" s="157"/>
      <c r="M48" s="157"/>
      <c r="N48" s="156"/>
      <c r="O48" s="156"/>
      <c r="P48" s="144">
        <f t="shared" si="0"/>
        <v>0</v>
      </c>
      <c r="Q48" s="144">
        <f t="shared" si="1"/>
        <v>26</v>
      </c>
      <c r="R48" s="302" t="s">
        <v>317</v>
      </c>
    </row>
    <row r="49" spans="1:18" ht="36" customHeight="1" x14ac:dyDescent="0.25">
      <c r="A49" s="381"/>
      <c r="B49" s="383"/>
      <c r="C49" s="362"/>
      <c r="D49" s="142" t="s">
        <v>18</v>
      </c>
      <c r="E49" s="142" t="s">
        <v>315</v>
      </c>
      <c r="F49" s="142" t="s">
        <v>316</v>
      </c>
      <c r="G49" s="6">
        <v>244</v>
      </c>
      <c r="H49" s="148"/>
      <c r="I49" s="148"/>
      <c r="J49" s="148"/>
      <c r="K49" s="149"/>
      <c r="L49" s="149"/>
      <c r="M49" s="149"/>
      <c r="N49" s="148"/>
      <c r="O49" s="148"/>
      <c r="P49" s="144">
        <f t="shared" si="0"/>
        <v>0</v>
      </c>
      <c r="Q49" s="144">
        <f t="shared" si="1"/>
        <v>0</v>
      </c>
      <c r="R49" s="384"/>
    </row>
    <row r="50" spans="1:18" ht="22.5" customHeight="1" x14ac:dyDescent="0.25">
      <c r="A50" s="376" t="s">
        <v>318</v>
      </c>
      <c r="B50" s="377"/>
      <c r="C50" s="158"/>
      <c r="D50" s="158"/>
      <c r="E50" s="159"/>
      <c r="F50" s="158"/>
      <c r="G50" s="158"/>
      <c r="H50" s="149">
        <f t="shared" ref="H50:M50" si="2">SUM(H7:H49)</f>
        <v>198091.59999999992</v>
      </c>
      <c r="I50" s="149">
        <f t="shared" si="2"/>
        <v>204824.59999999998</v>
      </c>
      <c r="J50" s="149">
        <f t="shared" si="2"/>
        <v>219030.49999999997</v>
      </c>
      <c r="K50" s="149">
        <f t="shared" si="2"/>
        <v>218633.10000000003</v>
      </c>
      <c r="L50" s="149">
        <f t="shared" si="2"/>
        <v>229336.90000000002</v>
      </c>
      <c r="M50" s="149">
        <f t="shared" si="2"/>
        <v>256968.1</v>
      </c>
      <c r="N50" s="149">
        <f>SUM(N7:N49)</f>
        <v>218059.09999999998</v>
      </c>
      <c r="O50" s="149">
        <f>SUM(O7:O49)</f>
        <v>218059.09999999998</v>
      </c>
      <c r="P50" s="144">
        <f t="shared" si="0"/>
        <v>218059.09999999998</v>
      </c>
      <c r="Q50" s="144">
        <f t="shared" si="1"/>
        <v>1981062.1</v>
      </c>
      <c r="R50" s="25"/>
    </row>
    <row r="51" spans="1:18" ht="20.25" customHeight="1" x14ac:dyDescent="0.25">
      <c r="A51" s="376" t="s">
        <v>319</v>
      </c>
      <c r="B51" s="377"/>
      <c r="C51" s="160"/>
      <c r="D51" s="160"/>
      <c r="E51" s="160"/>
      <c r="F51" s="160"/>
      <c r="G51" s="160"/>
      <c r="H51" s="149">
        <f t="shared" ref="H51:M51" si="3">H50</f>
        <v>198091.59999999992</v>
      </c>
      <c r="I51" s="149">
        <f t="shared" si="3"/>
        <v>204824.59999999998</v>
      </c>
      <c r="J51" s="149">
        <f t="shared" si="3"/>
        <v>219030.49999999997</v>
      </c>
      <c r="K51" s="149">
        <f t="shared" si="3"/>
        <v>218633.10000000003</v>
      </c>
      <c r="L51" s="149">
        <f t="shared" si="3"/>
        <v>229336.90000000002</v>
      </c>
      <c r="M51" s="149">
        <f t="shared" si="3"/>
        <v>256968.1</v>
      </c>
      <c r="N51" s="149">
        <f>N50</f>
        <v>218059.09999999998</v>
      </c>
      <c r="O51" s="149">
        <f>O50</f>
        <v>218059.09999999998</v>
      </c>
      <c r="P51" s="144">
        <f t="shared" si="0"/>
        <v>218059.09999999998</v>
      </c>
      <c r="Q51" s="144">
        <f t="shared" si="1"/>
        <v>1981062.1</v>
      </c>
      <c r="R51" s="25"/>
    </row>
    <row r="52" spans="1:18" ht="20.25" customHeight="1" x14ac:dyDescent="0.25">
      <c r="A52" s="376" t="s">
        <v>320</v>
      </c>
      <c r="B52" s="377"/>
      <c r="C52" s="160"/>
      <c r="D52" s="160"/>
      <c r="E52" s="160"/>
      <c r="F52" s="160"/>
      <c r="G52" s="160"/>
      <c r="H52" s="149">
        <f>H16+H17+H18+H19+H20+H21+H22+H23+H24+H25+H26+H27+H31+H32+H34+H35+H39+H40+H41+H42+H43+H44</f>
        <v>92552.900000000023</v>
      </c>
      <c r="I52" s="149">
        <f>I16+I17+I18+I19+I20+I21+I22+I23+I24+I25+I26+I27+I31+I32+I34+I35+I39+I40+I41+I42+I43+I44</f>
        <v>81485.8</v>
      </c>
      <c r="J52" s="149">
        <f>J16+J17+J18+J19+J20+J21+J22+J23+J24+J25+J26+J27+J31+J32+J34+J35+J39+J40+J41+J42+J43+J44</f>
        <v>116158.70000000001</v>
      </c>
      <c r="K52" s="149">
        <f>K16+K17+K18+K19+K20+K21+K22+K23+K24+K25+K26+K27+K31+K32+K34+K35+K39+K40+K41+K42+K43+K44+K30</f>
        <v>122752.3</v>
      </c>
      <c r="L52" s="149">
        <f>L16+L17+L18+L19+L20+L21+L22+L23+L24+L25+L26+L27+L31+L32+L34+L35+L39+L40+L41+L42+L43+L44+L28+L29</f>
        <v>129296.8</v>
      </c>
      <c r="M52" s="149">
        <f>M16+M17+M18+M19+M20+M21+M22+M23+M24+M25+M26+M27+M31+M32+M34+M35+M39+M40+M41+M42+M43+M44</f>
        <v>140146</v>
      </c>
      <c r="N52" s="149">
        <f>N16+N17+N18+N19+N20+N21+N22+N23+N24+N25+N26+N27+N31+N32+N34+N35+N39+N40+N41+N42+N43+N44</f>
        <v>125514.09999999999</v>
      </c>
      <c r="O52" s="149">
        <f>O16+O17+O18+O19+O20+O21+O22+O23+O24+O25+O26+O27+O31+O32+O34+O35+O39+O40+O41+O42+O43+O44</f>
        <v>125514.09999999999</v>
      </c>
      <c r="P52" s="144">
        <f t="shared" si="0"/>
        <v>125514.09999999999</v>
      </c>
      <c r="Q52" s="144">
        <f t="shared" si="1"/>
        <v>1058934.8</v>
      </c>
      <c r="R52" s="25"/>
    </row>
    <row r="53" spans="1:18" ht="20.25" customHeight="1" x14ac:dyDescent="0.25">
      <c r="A53" s="376" t="s">
        <v>321</v>
      </c>
      <c r="B53" s="377"/>
      <c r="C53" s="160"/>
      <c r="D53" s="160"/>
      <c r="E53" s="160"/>
      <c r="F53" s="160"/>
      <c r="G53" s="160"/>
      <c r="H53" s="149">
        <f>H7+H8+H9+H10+H11+H12+H14+H15+H36+H37+H38+H45+H46+H47+H48+H49</f>
        <v>92376.4</v>
      </c>
      <c r="I53" s="149">
        <f>I7+I8+I9+I10+I11+I12+I14+I15+I36+I37+I38+I45+I46+I47+I48+I49</f>
        <v>110895</v>
      </c>
      <c r="J53" s="149">
        <f>J7+J8+J9+J10+J11+J12+J14+J15+J36+J37+J38+J45+J46+J47+J48+J49</f>
        <v>86284.2</v>
      </c>
      <c r="K53" s="149">
        <f>K7+K8+K9+K10+K11+K12+K14+K15+K36+K37+K38+K45+K46+K47+K48+K49</f>
        <v>76465.3</v>
      </c>
      <c r="L53" s="149">
        <f>L7+L8+L9+L10+L11+L12+L14+L15+L36+L37+L38+L45+L46+L47+L48+L49</f>
        <v>78788.700000000012</v>
      </c>
      <c r="M53" s="149">
        <f>M7+M8+M9+M10+M11+M12+M14+M15+M36+M37+M38+M45+M46+M47+M48+M49+M13</f>
        <v>95053.7</v>
      </c>
      <c r="N53" s="149">
        <f>N7+N8+N9+N10+N11+N12+N14+N15+N36+N37+N38+N45+N46+N47+N48+N49+N13</f>
        <v>70776.600000000006</v>
      </c>
      <c r="O53" s="149">
        <f>O7+O8+O9+O10+O11+O12+O14+O15+O36+O37+O38+O45+O46+O47+O48+O49+O13</f>
        <v>70776.600000000006</v>
      </c>
      <c r="P53" s="144">
        <f t="shared" si="0"/>
        <v>70776.600000000006</v>
      </c>
      <c r="Q53" s="144">
        <f t="shared" si="1"/>
        <v>752193.09999999986</v>
      </c>
      <c r="R53" s="25"/>
    </row>
    <row r="54" spans="1:18" ht="20.25" customHeight="1" x14ac:dyDescent="0.25">
      <c r="A54" s="376" t="s">
        <v>322</v>
      </c>
      <c r="B54" s="377"/>
      <c r="C54" s="160"/>
      <c r="D54" s="160"/>
      <c r="E54" s="160"/>
      <c r="F54" s="160"/>
      <c r="G54" s="160"/>
      <c r="H54" s="149">
        <f t="shared" ref="H54:O54" si="4">H33</f>
        <v>13162.3</v>
      </c>
      <c r="I54" s="149">
        <f t="shared" si="4"/>
        <v>12443.8</v>
      </c>
      <c r="J54" s="148">
        <f t="shared" si="4"/>
        <v>16587.599999999999</v>
      </c>
      <c r="K54" s="149">
        <f t="shared" si="4"/>
        <v>19415.5</v>
      </c>
      <c r="L54" s="149">
        <f t="shared" si="4"/>
        <v>21251.4</v>
      </c>
      <c r="M54" s="149">
        <f t="shared" si="4"/>
        <v>21768.400000000001</v>
      </c>
      <c r="N54" s="149">
        <f t="shared" si="4"/>
        <v>21768.400000000001</v>
      </c>
      <c r="O54" s="149">
        <f t="shared" si="4"/>
        <v>21768.400000000001</v>
      </c>
      <c r="P54" s="144">
        <f t="shared" si="0"/>
        <v>21768.400000000001</v>
      </c>
      <c r="Q54" s="144">
        <f t="shared" si="1"/>
        <v>169934.19999999998</v>
      </c>
      <c r="R54" s="25"/>
    </row>
    <row r="55" spans="1:18" s="163" customFormat="1" x14ac:dyDescent="0.25">
      <c r="A55" s="378"/>
      <c r="B55" s="378"/>
      <c r="C55" s="161"/>
      <c r="D55" s="161"/>
      <c r="E55" s="161"/>
      <c r="F55" s="161"/>
      <c r="G55" s="161"/>
      <c r="H55" s="161"/>
      <c r="I55" s="162"/>
      <c r="J55" s="162"/>
      <c r="K55" s="115"/>
      <c r="L55" s="115"/>
      <c r="M55" s="115"/>
      <c r="N55" s="115"/>
      <c r="O55" s="115"/>
      <c r="P55" s="115"/>
      <c r="Q55" s="115"/>
      <c r="R55" s="115"/>
    </row>
    <row r="56" spans="1:18" s="115" customFormat="1" x14ac:dyDescent="0.25">
      <c r="A56" s="379"/>
      <c r="B56" s="379"/>
      <c r="C56" s="164"/>
      <c r="D56" s="164"/>
      <c r="E56" s="164"/>
      <c r="F56" s="164"/>
      <c r="G56" s="164"/>
      <c r="H56" s="164"/>
      <c r="I56" s="164"/>
      <c r="J56" s="164"/>
      <c r="K56" s="164"/>
      <c r="Q56" s="165"/>
    </row>
    <row r="57" spans="1:18" x14ac:dyDescent="0.25">
      <c r="A57" s="380" t="s">
        <v>33</v>
      </c>
      <c r="B57" s="380"/>
      <c r="C57" s="380"/>
      <c r="D57" s="166"/>
      <c r="E57" s="166"/>
      <c r="F57" s="166"/>
      <c r="G57" s="166"/>
      <c r="H57" s="166"/>
      <c r="I57" s="167"/>
      <c r="R57" s="167" t="s">
        <v>34</v>
      </c>
    </row>
    <row r="58" spans="1:18" x14ac:dyDescent="0.25">
      <c r="A58" s="168"/>
      <c r="B58" s="169"/>
      <c r="C58" s="170"/>
      <c r="D58" s="170"/>
      <c r="E58" s="170"/>
      <c r="F58" s="170"/>
      <c r="G58" s="170"/>
      <c r="H58" s="170"/>
    </row>
    <row r="59" spans="1:18" x14ac:dyDescent="0.25">
      <c r="A59" s="168"/>
      <c r="B59" s="169"/>
      <c r="C59" s="170"/>
      <c r="D59" s="170"/>
      <c r="E59" s="170"/>
      <c r="F59" s="170"/>
      <c r="G59" s="170"/>
      <c r="H59" s="170"/>
    </row>
    <row r="60" spans="1:18" x14ac:dyDescent="0.25">
      <c r="A60" s="168"/>
      <c r="B60" s="169"/>
      <c r="C60" s="170"/>
      <c r="D60" s="170"/>
      <c r="E60" s="170"/>
      <c r="F60" s="170"/>
      <c r="G60" s="170"/>
      <c r="H60" s="170"/>
    </row>
    <row r="61" spans="1:18" x14ac:dyDescent="0.25">
      <c r="A61" s="168"/>
      <c r="B61" s="169"/>
      <c r="C61" s="170"/>
      <c r="D61" s="170"/>
      <c r="E61" s="170"/>
      <c r="F61" s="170"/>
      <c r="G61" s="170"/>
      <c r="H61" s="170"/>
    </row>
    <row r="62" spans="1:18" x14ac:dyDescent="0.25">
      <c r="A62" s="168"/>
      <c r="B62" s="169"/>
      <c r="C62" s="170"/>
      <c r="D62" s="170"/>
      <c r="E62" s="170"/>
      <c r="F62" s="170"/>
      <c r="G62" s="170"/>
      <c r="H62" s="170"/>
    </row>
    <row r="63" spans="1:18" x14ac:dyDescent="0.25">
      <c r="A63" s="168"/>
      <c r="B63" s="169"/>
      <c r="C63" s="170"/>
      <c r="D63" s="170"/>
      <c r="E63" s="170"/>
      <c r="F63" s="170"/>
      <c r="G63" s="170"/>
      <c r="H63" s="170"/>
    </row>
    <row r="64" spans="1:18" x14ac:dyDescent="0.25">
      <c r="A64" s="168"/>
      <c r="B64" s="169"/>
      <c r="C64" s="170"/>
      <c r="D64" s="170"/>
      <c r="E64" s="170"/>
      <c r="F64" s="170"/>
      <c r="G64" s="170"/>
      <c r="H64" s="170"/>
    </row>
    <row r="65" spans="1:8" x14ac:dyDescent="0.25">
      <c r="A65" s="168"/>
      <c r="B65" s="169"/>
      <c r="C65" s="170"/>
      <c r="D65" s="170"/>
      <c r="E65" s="170"/>
      <c r="F65" s="170"/>
      <c r="G65" s="170"/>
      <c r="H65" s="170"/>
    </row>
    <row r="66" spans="1:8" x14ac:dyDescent="0.25">
      <c r="A66" s="168"/>
      <c r="B66" s="169"/>
      <c r="C66" s="170"/>
      <c r="D66" s="170"/>
      <c r="E66" s="170"/>
      <c r="F66" s="170"/>
      <c r="G66" s="170"/>
      <c r="H66" s="170"/>
    </row>
    <row r="67" spans="1:8" x14ac:dyDescent="0.25">
      <c r="A67" s="168"/>
      <c r="B67" s="169"/>
      <c r="C67" s="170"/>
      <c r="D67" s="170"/>
      <c r="E67" s="170"/>
      <c r="F67" s="170"/>
      <c r="G67" s="170"/>
      <c r="H67" s="170"/>
    </row>
    <row r="68" spans="1:8" x14ac:dyDescent="0.25">
      <c r="A68" s="168"/>
      <c r="B68" s="169"/>
      <c r="C68" s="170"/>
      <c r="D68" s="170"/>
      <c r="E68" s="170"/>
      <c r="F68" s="170"/>
      <c r="G68" s="170"/>
      <c r="H68" s="170"/>
    </row>
    <row r="69" spans="1:8" x14ac:dyDescent="0.25">
      <c r="A69" s="168"/>
      <c r="B69" s="169"/>
      <c r="C69" s="170"/>
      <c r="D69" s="170"/>
      <c r="E69" s="170"/>
      <c r="F69" s="170"/>
      <c r="G69" s="170"/>
      <c r="H69" s="170"/>
    </row>
    <row r="70" spans="1:8" x14ac:dyDescent="0.25">
      <c r="A70" s="168"/>
      <c r="B70" s="169"/>
      <c r="C70" s="170"/>
      <c r="D70" s="170"/>
      <c r="E70" s="170"/>
      <c r="F70" s="170"/>
      <c r="G70" s="170"/>
      <c r="H70" s="170"/>
    </row>
    <row r="71" spans="1:8" x14ac:dyDescent="0.25">
      <c r="A71" s="168"/>
      <c r="B71" s="169"/>
      <c r="C71" s="170"/>
      <c r="D71" s="170"/>
      <c r="E71" s="170"/>
      <c r="F71" s="170"/>
      <c r="G71" s="170"/>
      <c r="H71" s="170"/>
    </row>
    <row r="72" spans="1:8" x14ac:dyDescent="0.25">
      <c r="A72" s="168"/>
      <c r="B72" s="169"/>
      <c r="C72" s="170"/>
      <c r="D72" s="170"/>
      <c r="E72" s="170"/>
      <c r="F72" s="170"/>
      <c r="G72" s="170"/>
      <c r="H72" s="170"/>
    </row>
    <row r="73" spans="1:8" x14ac:dyDescent="0.25">
      <c r="A73" s="168"/>
      <c r="B73" s="169"/>
      <c r="C73" s="170"/>
      <c r="D73" s="170"/>
      <c r="E73" s="170"/>
      <c r="F73" s="170"/>
      <c r="G73" s="170"/>
      <c r="H73" s="170"/>
    </row>
    <row r="74" spans="1:8" x14ac:dyDescent="0.25">
      <c r="A74" s="168"/>
      <c r="B74" s="169"/>
      <c r="C74" s="170"/>
      <c r="D74" s="170"/>
      <c r="E74" s="170"/>
      <c r="F74" s="170"/>
      <c r="G74" s="170"/>
      <c r="H74" s="170"/>
    </row>
    <row r="75" spans="1:8" x14ac:dyDescent="0.25">
      <c r="A75" s="168"/>
      <c r="B75" s="169"/>
      <c r="C75" s="170"/>
      <c r="D75" s="170"/>
      <c r="E75" s="170"/>
      <c r="F75" s="170"/>
      <c r="G75" s="170"/>
      <c r="H75" s="170"/>
    </row>
    <row r="76" spans="1:8" x14ac:dyDescent="0.25">
      <c r="A76" s="168"/>
      <c r="B76" s="169"/>
      <c r="C76" s="170"/>
      <c r="D76" s="170"/>
      <c r="E76" s="170"/>
      <c r="F76" s="170"/>
      <c r="G76" s="170"/>
      <c r="H76" s="170"/>
    </row>
    <row r="77" spans="1:8" x14ac:dyDescent="0.25">
      <c r="A77" s="168"/>
      <c r="B77" s="169"/>
      <c r="C77" s="170"/>
      <c r="D77" s="170"/>
      <c r="E77" s="170"/>
      <c r="F77" s="170"/>
      <c r="G77" s="170"/>
      <c r="H77" s="170"/>
    </row>
    <row r="78" spans="1:8" x14ac:dyDescent="0.25">
      <c r="A78" s="168"/>
      <c r="B78" s="169"/>
      <c r="C78" s="170"/>
      <c r="D78" s="170"/>
      <c r="E78" s="170"/>
      <c r="F78" s="170"/>
      <c r="G78" s="170"/>
      <c r="H78" s="170"/>
    </row>
    <row r="79" spans="1:8" x14ac:dyDescent="0.25">
      <c r="A79" s="168"/>
      <c r="B79" s="169"/>
      <c r="C79" s="170"/>
      <c r="D79" s="170"/>
      <c r="E79" s="170"/>
      <c r="F79" s="170"/>
      <c r="G79" s="170"/>
      <c r="H79" s="170"/>
    </row>
    <row r="80" spans="1:8" x14ac:dyDescent="0.25">
      <c r="A80" s="168"/>
      <c r="B80" s="169"/>
      <c r="C80" s="170"/>
      <c r="D80" s="170"/>
      <c r="E80" s="170"/>
      <c r="F80" s="170"/>
      <c r="G80" s="170"/>
      <c r="H80" s="170"/>
    </row>
    <row r="81" spans="1:8" x14ac:dyDescent="0.25">
      <c r="A81" s="168"/>
      <c r="B81" s="169"/>
      <c r="C81" s="170"/>
      <c r="D81" s="170"/>
      <c r="E81" s="170"/>
      <c r="F81" s="170"/>
      <c r="G81" s="170"/>
      <c r="H81" s="170"/>
    </row>
    <row r="82" spans="1:8" x14ac:dyDescent="0.25">
      <c r="A82" s="168"/>
      <c r="B82" s="169"/>
      <c r="C82" s="170"/>
      <c r="D82" s="170"/>
      <c r="E82" s="170"/>
      <c r="F82" s="170"/>
      <c r="G82" s="170"/>
      <c r="H82" s="170"/>
    </row>
    <row r="83" spans="1:8" x14ac:dyDescent="0.25">
      <c r="A83" s="168"/>
      <c r="B83" s="169"/>
      <c r="C83" s="170"/>
      <c r="D83" s="170"/>
      <c r="E83" s="170"/>
      <c r="F83" s="170"/>
      <c r="G83" s="170"/>
      <c r="H83" s="170"/>
    </row>
    <row r="84" spans="1:8" x14ac:dyDescent="0.25">
      <c r="A84" s="168"/>
      <c r="B84" s="169"/>
      <c r="C84" s="170"/>
      <c r="D84" s="170"/>
      <c r="E84" s="170"/>
      <c r="F84" s="170"/>
      <c r="G84" s="170"/>
      <c r="H84" s="170"/>
    </row>
    <row r="85" spans="1:8" x14ac:dyDescent="0.25">
      <c r="A85" s="168"/>
      <c r="B85" s="169"/>
      <c r="C85" s="170"/>
      <c r="D85" s="170"/>
      <c r="E85" s="170"/>
      <c r="F85" s="170"/>
      <c r="G85" s="170"/>
      <c r="H85" s="170"/>
    </row>
    <row r="86" spans="1:8" x14ac:dyDescent="0.25">
      <c r="A86" s="168"/>
      <c r="B86" s="169"/>
      <c r="C86" s="170"/>
      <c r="D86" s="170"/>
      <c r="E86" s="170"/>
      <c r="F86" s="170"/>
      <c r="G86" s="170"/>
      <c r="H86" s="170"/>
    </row>
    <row r="87" spans="1:8" x14ac:dyDescent="0.25">
      <c r="A87" s="168"/>
      <c r="B87" s="169"/>
      <c r="C87" s="170"/>
      <c r="D87" s="170"/>
      <c r="E87" s="170"/>
      <c r="F87" s="170"/>
      <c r="G87" s="170"/>
      <c r="H87" s="170"/>
    </row>
    <row r="88" spans="1:8" x14ac:dyDescent="0.25">
      <c r="A88" s="168"/>
      <c r="B88" s="169"/>
      <c r="C88" s="170"/>
      <c r="D88" s="170"/>
      <c r="E88" s="170"/>
      <c r="F88" s="170"/>
      <c r="G88" s="170"/>
      <c r="H88" s="170"/>
    </row>
    <row r="89" spans="1:8" x14ac:dyDescent="0.25">
      <c r="A89" s="168"/>
      <c r="B89" s="169"/>
      <c r="C89" s="170"/>
      <c r="D89" s="170"/>
      <c r="E89" s="170"/>
      <c r="F89" s="170"/>
      <c r="G89" s="170"/>
      <c r="H89" s="170"/>
    </row>
    <row r="90" spans="1:8" x14ac:dyDescent="0.25">
      <c r="A90" s="168"/>
      <c r="B90" s="169"/>
      <c r="C90" s="170"/>
      <c r="D90" s="170"/>
      <c r="E90" s="170"/>
      <c r="F90" s="170"/>
      <c r="G90" s="170"/>
      <c r="H90" s="170"/>
    </row>
    <row r="91" spans="1:8" x14ac:dyDescent="0.25">
      <c r="A91" s="168"/>
      <c r="B91" s="169"/>
      <c r="C91" s="170"/>
      <c r="D91" s="170"/>
      <c r="E91" s="170"/>
      <c r="F91" s="170"/>
      <c r="G91" s="170"/>
      <c r="H91" s="170"/>
    </row>
    <row r="92" spans="1:8" x14ac:dyDescent="0.25">
      <c r="A92" s="168"/>
      <c r="B92" s="169"/>
      <c r="C92" s="170"/>
      <c r="D92" s="170"/>
      <c r="E92" s="170"/>
      <c r="F92" s="170"/>
      <c r="G92" s="170"/>
      <c r="H92" s="170"/>
    </row>
    <row r="93" spans="1:8" x14ac:dyDescent="0.25">
      <c r="A93" s="168"/>
      <c r="B93" s="169"/>
      <c r="C93" s="170"/>
      <c r="D93" s="170"/>
      <c r="E93" s="170"/>
      <c r="F93" s="170"/>
      <c r="G93" s="170"/>
      <c r="H93" s="170"/>
    </row>
    <row r="94" spans="1:8" x14ac:dyDescent="0.25">
      <c r="A94" s="168"/>
      <c r="B94" s="169"/>
      <c r="C94" s="170"/>
      <c r="D94" s="170"/>
      <c r="E94" s="170"/>
      <c r="F94" s="170"/>
      <c r="G94" s="170"/>
      <c r="H94" s="170"/>
    </row>
  </sheetData>
  <autoFilter ref="A4:U51"/>
  <mergeCells count="54">
    <mergeCell ref="I1:J1"/>
    <mergeCell ref="Q1:R1"/>
    <mergeCell ref="A2:R2"/>
    <mergeCell ref="A3:A4"/>
    <mergeCell ref="B3:B4"/>
    <mergeCell ref="C3:C4"/>
    <mergeCell ref="D3:G3"/>
    <mergeCell ref="I3:Q3"/>
    <mergeCell ref="R3:R4"/>
    <mergeCell ref="A5:R5"/>
    <mergeCell ref="A6:R6"/>
    <mergeCell ref="A7:A33"/>
    <mergeCell ref="B7:B15"/>
    <mergeCell ref="C7:C15"/>
    <mergeCell ref="R7:R33"/>
    <mergeCell ref="B16:B32"/>
    <mergeCell ref="C16:C32"/>
    <mergeCell ref="A34:A36"/>
    <mergeCell ref="B34:B35"/>
    <mergeCell ref="C34:C35"/>
    <mergeCell ref="R34:R36"/>
    <mergeCell ref="A37:A38"/>
    <mergeCell ref="B37:B38"/>
    <mergeCell ref="C37:C38"/>
    <mergeCell ref="R37:R38"/>
    <mergeCell ref="A46:A47"/>
    <mergeCell ref="B46:B47"/>
    <mergeCell ref="C46:C47"/>
    <mergeCell ref="R46:R47"/>
    <mergeCell ref="A39:A40"/>
    <mergeCell ref="B39:B40"/>
    <mergeCell ref="C39:C40"/>
    <mergeCell ref="R39:R40"/>
    <mergeCell ref="A41:A42"/>
    <mergeCell ref="B41:B42"/>
    <mergeCell ref="C41:C42"/>
    <mergeCell ref="R41:R42"/>
    <mergeCell ref="A43:A44"/>
    <mergeCell ref="B43:B44"/>
    <mergeCell ref="C43:C45"/>
    <mergeCell ref="D43:D44"/>
    <mergeCell ref="R43:R44"/>
    <mergeCell ref="A57:C57"/>
    <mergeCell ref="A48:A49"/>
    <mergeCell ref="B48:B49"/>
    <mergeCell ref="C48:C49"/>
    <mergeCell ref="R48:R49"/>
    <mergeCell ref="A50:B50"/>
    <mergeCell ref="A51:B51"/>
    <mergeCell ref="A52:B52"/>
    <mergeCell ref="A53:B53"/>
    <mergeCell ref="A54:B54"/>
    <mergeCell ref="A55:B55"/>
    <mergeCell ref="A56:B56"/>
  </mergeCells>
  <pageMargins left="0.51181102362204722" right="0.39370078740157483" top="0.55118110236220474" bottom="0.35433070866141736" header="0.31496062992125984" footer="0.31496062992125984"/>
  <pageSetup paperSize="9" scale="38" fitToHeight="8" orientation="landscape" r:id="rId1"/>
  <headerFooter differentFirst="1">
    <oddHeader>&amp;C&amp;P</oddHeader>
  </headerFooter>
  <rowBreaks count="1" manualBreakCount="1">
    <brk id="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31"/>
  <sheetViews>
    <sheetView view="pageBreakPreview" zoomScale="83" zoomScaleNormal="79" zoomScaleSheetLayoutView="83" workbookViewId="0">
      <pane ySplit="5" topLeftCell="A6" activePane="bottomLeft" state="frozen"/>
      <selection activeCell="E58" sqref="E58"/>
      <selection pane="bottomLeft" activeCell="B3" sqref="B3:B5"/>
    </sheetView>
  </sheetViews>
  <sheetFormatPr defaultRowHeight="15.75" x14ac:dyDescent="0.25"/>
  <cols>
    <col min="1" max="1" width="6.28515625" style="108" customWidth="1"/>
    <col min="2" max="2" width="79.140625" style="35" customWidth="1"/>
    <col min="3" max="3" width="12" style="35" customWidth="1"/>
    <col min="4" max="4" width="11.42578125" style="35" hidden="1" customWidth="1"/>
    <col min="5" max="7" width="11.42578125" style="35" customWidth="1"/>
    <col min="8" max="10" width="11.42578125" style="55" customWidth="1"/>
    <col min="11" max="11" width="9.140625" style="55"/>
    <col min="12" max="12" width="8.140625" style="35" customWidth="1"/>
    <col min="13" max="16384" width="9.140625" style="35"/>
  </cols>
  <sheetData>
    <row r="1" spans="1:16" ht="36.75" customHeight="1" x14ac:dyDescent="0.25">
      <c r="A1" s="63"/>
      <c r="B1" s="64"/>
      <c r="C1" s="65"/>
      <c r="E1" s="346" t="s">
        <v>326</v>
      </c>
      <c r="F1" s="346"/>
      <c r="G1" s="346"/>
      <c r="H1" s="346"/>
      <c r="I1" s="346"/>
      <c r="J1" s="346"/>
      <c r="K1" s="346"/>
      <c r="L1" s="346"/>
    </row>
    <row r="2" spans="1:16" ht="37.5" customHeight="1" x14ac:dyDescent="0.25">
      <c r="A2" s="365" t="s">
        <v>245</v>
      </c>
      <c r="B2" s="365"/>
      <c r="C2" s="365"/>
      <c r="D2" s="365"/>
      <c r="E2" s="365"/>
      <c r="F2" s="365"/>
      <c r="G2" s="365"/>
      <c r="H2" s="365"/>
      <c r="I2" s="365"/>
      <c r="J2" s="365"/>
    </row>
    <row r="3" spans="1:16" ht="25.5" customHeight="1" x14ac:dyDescent="0.25">
      <c r="A3" s="348" t="s">
        <v>88</v>
      </c>
      <c r="B3" s="339" t="s">
        <v>246</v>
      </c>
      <c r="C3" s="339" t="s">
        <v>90</v>
      </c>
      <c r="D3" s="305" t="s">
        <v>93</v>
      </c>
      <c r="E3" s="305" t="s">
        <v>41</v>
      </c>
      <c r="F3" s="305" t="s">
        <v>42</v>
      </c>
      <c r="G3" s="305" t="s">
        <v>43</v>
      </c>
      <c r="H3" s="325" t="s">
        <v>44</v>
      </c>
      <c r="I3" s="325" t="s">
        <v>45</v>
      </c>
      <c r="J3" s="325" t="s">
        <v>46</v>
      </c>
      <c r="K3" s="325" t="s">
        <v>47</v>
      </c>
      <c r="L3" s="325" t="s">
        <v>48</v>
      </c>
      <c r="M3" s="325" t="s">
        <v>49</v>
      </c>
    </row>
    <row r="4" spans="1:16" ht="12.75" customHeight="1" x14ac:dyDescent="0.25">
      <c r="A4" s="348"/>
      <c r="B4" s="339"/>
      <c r="C4" s="339"/>
      <c r="D4" s="305"/>
      <c r="E4" s="305"/>
      <c r="F4" s="305"/>
      <c r="G4" s="305"/>
      <c r="H4" s="325"/>
      <c r="I4" s="325"/>
      <c r="J4" s="325"/>
      <c r="K4" s="325"/>
      <c r="L4" s="325"/>
      <c r="M4" s="325"/>
    </row>
    <row r="5" spans="1:16" ht="25.5" customHeight="1" x14ac:dyDescent="0.25">
      <c r="A5" s="348"/>
      <c r="B5" s="339"/>
      <c r="C5" s="339"/>
      <c r="D5" s="305"/>
      <c r="E5" s="305"/>
      <c r="F5" s="305"/>
      <c r="G5" s="305"/>
      <c r="H5" s="325"/>
      <c r="I5" s="325"/>
      <c r="J5" s="325"/>
      <c r="K5" s="325"/>
      <c r="L5" s="325"/>
      <c r="M5" s="325"/>
    </row>
    <row r="6" spans="1:16" ht="35.1" customHeight="1" x14ac:dyDescent="0.25">
      <c r="A6" s="426" t="s">
        <v>327</v>
      </c>
      <c r="B6" s="427"/>
      <c r="C6" s="427"/>
      <c r="D6" s="427"/>
      <c r="E6" s="427"/>
      <c r="F6" s="427"/>
      <c r="G6" s="427"/>
      <c r="H6" s="427"/>
      <c r="I6" s="427"/>
      <c r="J6" s="427"/>
      <c r="K6" s="427"/>
      <c r="L6" s="428"/>
    </row>
    <row r="7" spans="1:16" ht="35.1" customHeight="1" x14ac:dyDescent="0.25">
      <c r="A7" s="423" t="s">
        <v>328</v>
      </c>
      <c r="B7" s="424"/>
      <c r="C7" s="424"/>
      <c r="D7" s="424"/>
      <c r="E7" s="424"/>
      <c r="F7" s="424"/>
      <c r="G7" s="424"/>
      <c r="H7" s="424"/>
      <c r="I7" s="424"/>
      <c r="J7" s="424"/>
      <c r="K7" s="424"/>
      <c r="L7" s="425"/>
    </row>
    <row r="8" spans="1:16" ht="35.1" customHeight="1" x14ac:dyDescent="0.25">
      <c r="A8" s="23" t="s">
        <v>249</v>
      </c>
      <c r="B8" s="176" t="s">
        <v>329</v>
      </c>
      <c r="C8" s="22" t="s">
        <v>96</v>
      </c>
      <c r="D8" s="177">
        <v>546.29999999999995</v>
      </c>
      <c r="E8" s="80">
        <v>57.12</v>
      </c>
      <c r="F8" s="80">
        <v>71.400000000000006</v>
      </c>
      <c r="G8" s="80">
        <v>85.7</v>
      </c>
      <c r="H8" s="88">
        <v>85.7</v>
      </c>
      <c r="I8" s="75">
        <v>85.7</v>
      </c>
      <c r="J8" s="75">
        <v>85.7</v>
      </c>
      <c r="K8" s="75">
        <v>85.7</v>
      </c>
      <c r="L8" s="75">
        <v>85.7</v>
      </c>
      <c r="M8" s="75">
        <v>85.7</v>
      </c>
    </row>
    <row r="9" spans="1:16" s="55" customFormat="1" ht="35.1" customHeight="1" x14ac:dyDescent="0.25">
      <c r="A9" s="121" t="s">
        <v>250</v>
      </c>
      <c r="B9" s="178" t="s">
        <v>128</v>
      </c>
      <c r="C9" s="24" t="s">
        <v>96</v>
      </c>
      <c r="D9" s="77">
        <v>80</v>
      </c>
      <c r="E9" s="88">
        <v>75</v>
      </c>
      <c r="F9" s="88">
        <v>75</v>
      </c>
      <c r="G9" s="88">
        <v>75</v>
      </c>
      <c r="H9" s="88">
        <v>85</v>
      </c>
      <c r="I9" s="88">
        <v>85</v>
      </c>
      <c r="J9" s="88">
        <v>85</v>
      </c>
      <c r="K9" s="88">
        <v>85</v>
      </c>
      <c r="L9" s="88">
        <v>85</v>
      </c>
      <c r="M9" s="88">
        <v>85</v>
      </c>
      <c r="N9" s="179"/>
      <c r="O9" s="179"/>
      <c r="P9" s="179"/>
    </row>
    <row r="10" spans="1:16" ht="35.1" customHeight="1" x14ac:dyDescent="0.25">
      <c r="A10" s="23" t="s">
        <v>251</v>
      </c>
      <c r="B10" s="180" t="s">
        <v>130</v>
      </c>
      <c r="C10" s="22" t="s">
        <v>131</v>
      </c>
      <c r="D10" s="22" t="s">
        <v>126</v>
      </c>
      <c r="E10" s="80">
        <v>9</v>
      </c>
      <c r="F10" s="81">
        <v>8</v>
      </c>
      <c r="G10" s="81">
        <v>8</v>
      </c>
      <c r="H10" s="88">
        <v>8</v>
      </c>
      <c r="I10" s="75">
        <v>8</v>
      </c>
      <c r="J10" s="75">
        <v>8</v>
      </c>
      <c r="K10" s="75">
        <v>8</v>
      </c>
      <c r="L10" s="75">
        <v>8</v>
      </c>
      <c r="M10" s="75">
        <v>8</v>
      </c>
    </row>
    <row r="11" spans="1:16" ht="35.1" customHeight="1" x14ac:dyDescent="0.25">
      <c r="A11" s="23" t="s">
        <v>253</v>
      </c>
      <c r="B11" s="180" t="s">
        <v>133</v>
      </c>
      <c r="C11" s="22" t="s">
        <v>96</v>
      </c>
      <c r="D11" s="22"/>
      <c r="E11" s="80">
        <v>100</v>
      </c>
      <c r="F11" s="81">
        <v>100</v>
      </c>
      <c r="G11" s="81">
        <v>100</v>
      </c>
      <c r="H11" s="88">
        <v>100</v>
      </c>
      <c r="I11" s="75">
        <v>100</v>
      </c>
      <c r="J11" s="75">
        <v>100</v>
      </c>
      <c r="K11" s="75">
        <v>100</v>
      </c>
      <c r="L11" s="75">
        <v>100</v>
      </c>
      <c r="M11" s="75">
        <v>100</v>
      </c>
    </row>
    <row r="12" spans="1:16" ht="35.1" customHeight="1" x14ac:dyDescent="0.25">
      <c r="A12" s="23" t="s">
        <v>330</v>
      </c>
      <c r="B12" s="180" t="s">
        <v>135</v>
      </c>
      <c r="C12" s="22" t="s">
        <v>131</v>
      </c>
      <c r="D12" s="22" t="s">
        <v>126</v>
      </c>
      <c r="E12" s="80">
        <v>6</v>
      </c>
      <c r="F12" s="81">
        <v>7</v>
      </c>
      <c r="G12" s="81">
        <v>7</v>
      </c>
      <c r="H12" s="88">
        <v>7</v>
      </c>
      <c r="I12" s="88">
        <v>7</v>
      </c>
      <c r="J12" s="88">
        <v>7</v>
      </c>
      <c r="K12" s="88">
        <v>7</v>
      </c>
      <c r="L12" s="88">
        <v>7</v>
      </c>
      <c r="M12" s="88">
        <v>7</v>
      </c>
    </row>
    <row r="13" spans="1:16" ht="35.1" customHeight="1" x14ac:dyDescent="0.25">
      <c r="A13" s="423" t="s">
        <v>331</v>
      </c>
      <c r="B13" s="424"/>
      <c r="C13" s="424"/>
      <c r="D13" s="424"/>
      <c r="E13" s="424"/>
      <c r="F13" s="424"/>
      <c r="G13" s="424"/>
      <c r="H13" s="424"/>
      <c r="I13" s="424"/>
      <c r="J13" s="424"/>
      <c r="K13" s="424"/>
      <c r="L13" s="425"/>
    </row>
    <row r="14" spans="1:16" ht="31.5" x14ac:dyDescent="0.25">
      <c r="A14" s="23" t="s">
        <v>332</v>
      </c>
      <c r="B14" s="180" t="s">
        <v>138</v>
      </c>
      <c r="C14" s="68" t="s">
        <v>96</v>
      </c>
      <c r="D14" s="68">
        <v>1.96</v>
      </c>
      <c r="E14" s="80">
        <v>87.5</v>
      </c>
      <c r="F14" s="81">
        <v>100</v>
      </c>
      <c r="G14" s="81">
        <v>100</v>
      </c>
      <c r="H14" s="88">
        <v>100</v>
      </c>
      <c r="I14" s="85">
        <v>100</v>
      </c>
      <c r="J14" s="85">
        <v>100</v>
      </c>
      <c r="K14" s="85">
        <v>100</v>
      </c>
      <c r="L14" s="85">
        <v>100</v>
      </c>
      <c r="M14" s="85">
        <v>100</v>
      </c>
    </row>
    <row r="15" spans="1:16" ht="31.5" x14ac:dyDescent="0.25">
      <c r="A15" s="23" t="s">
        <v>333</v>
      </c>
      <c r="B15" s="180" t="s">
        <v>140</v>
      </c>
      <c r="C15" s="22" t="s">
        <v>96</v>
      </c>
      <c r="D15" s="74">
        <v>2.34</v>
      </c>
      <c r="E15" s="80">
        <v>85</v>
      </c>
      <c r="F15" s="81">
        <v>89</v>
      </c>
      <c r="G15" s="81">
        <v>90</v>
      </c>
      <c r="H15" s="88">
        <v>90</v>
      </c>
      <c r="I15" s="85">
        <v>95</v>
      </c>
      <c r="J15" s="85">
        <v>95</v>
      </c>
      <c r="K15" s="85">
        <v>95</v>
      </c>
      <c r="L15" s="85">
        <v>95</v>
      </c>
      <c r="M15" s="85">
        <v>95</v>
      </c>
    </row>
    <row r="16" spans="1:16" ht="63" x14ac:dyDescent="0.25">
      <c r="A16" s="23" t="s">
        <v>334</v>
      </c>
      <c r="B16" s="180" t="s">
        <v>142</v>
      </c>
      <c r="C16" s="22" t="s">
        <v>96</v>
      </c>
      <c r="D16" s="74"/>
      <c r="E16" s="80">
        <v>10.199999999999999</v>
      </c>
      <c r="F16" s="81">
        <v>10.1</v>
      </c>
      <c r="G16" s="81">
        <v>10.1</v>
      </c>
      <c r="H16" s="88">
        <v>9.1</v>
      </c>
      <c r="I16" s="85">
        <v>9.5</v>
      </c>
      <c r="J16" s="85">
        <v>10.1</v>
      </c>
      <c r="K16" s="85">
        <v>10.1</v>
      </c>
      <c r="L16" s="85">
        <v>10.1</v>
      </c>
      <c r="M16" s="85">
        <v>10.1</v>
      </c>
    </row>
    <row r="17" spans="1:20" ht="63" x14ac:dyDescent="0.25">
      <c r="A17" s="23" t="s">
        <v>335</v>
      </c>
      <c r="B17" s="180" t="s">
        <v>144</v>
      </c>
      <c r="C17" s="22" t="s">
        <v>96</v>
      </c>
      <c r="D17" s="74"/>
      <c r="E17" s="80">
        <v>1.1299999999999999</v>
      </c>
      <c r="F17" s="81">
        <v>1.57</v>
      </c>
      <c r="G17" s="81">
        <v>1.72</v>
      </c>
      <c r="H17" s="88">
        <v>1.86</v>
      </c>
      <c r="I17" s="88">
        <v>1.87</v>
      </c>
      <c r="J17" s="88">
        <v>1.9</v>
      </c>
      <c r="K17" s="88">
        <v>1.9</v>
      </c>
      <c r="L17" s="88">
        <v>1.9</v>
      </c>
      <c r="M17" s="88">
        <v>1.9</v>
      </c>
    </row>
    <row r="18" spans="1:20" ht="47.25" x14ac:dyDescent="0.25">
      <c r="A18" s="23" t="s">
        <v>336</v>
      </c>
      <c r="B18" s="180" t="s">
        <v>146</v>
      </c>
      <c r="C18" s="22" t="s">
        <v>96</v>
      </c>
      <c r="D18" s="74"/>
      <c r="E18" s="80">
        <v>39</v>
      </c>
      <c r="F18" s="80">
        <v>41</v>
      </c>
      <c r="G18" s="80">
        <v>41</v>
      </c>
      <c r="H18" s="88">
        <v>42.5</v>
      </c>
      <c r="I18" s="85">
        <v>48.8</v>
      </c>
      <c r="J18" s="85">
        <v>50.2</v>
      </c>
      <c r="K18" s="85">
        <v>50.2</v>
      </c>
      <c r="L18" s="85">
        <v>50.2</v>
      </c>
      <c r="M18" s="85">
        <v>50.2</v>
      </c>
    </row>
    <row r="19" spans="1:20" ht="63" x14ac:dyDescent="0.25">
      <c r="A19" s="23" t="s">
        <v>337</v>
      </c>
      <c r="B19" s="176" t="s">
        <v>148</v>
      </c>
      <c r="C19" s="6" t="s">
        <v>96</v>
      </c>
      <c r="D19" s="74"/>
      <c r="E19" s="80">
        <v>1.96</v>
      </c>
      <c r="F19" s="80">
        <v>0</v>
      </c>
      <c r="G19" s="80">
        <v>0</v>
      </c>
      <c r="H19" s="88">
        <v>0</v>
      </c>
      <c r="I19" s="85">
        <v>0</v>
      </c>
      <c r="J19" s="85">
        <v>0</v>
      </c>
      <c r="K19" s="85">
        <v>0</v>
      </c>
      <c r="L19" s="85">
        <v>0</v>
      </c>
      <c r="M19" s="85">
        <v>0</v>
      </c>
    </row>
    <row r="20" spans="1:20" ht="47.25" x14ac:dyDescent="0.25">
      <c r="A20" s="23" t="s">
        <v>338</v>
      </c>
      <c r="B20" s="176" t="s">
        <v>150</v>
      </c>
      <c r="C20" s="6" t="s">
        <v>96</v>
      </c>
      <c r="D20" s="74"/>
      <c r="E20" s="80">
        <v>93.4</v>
      </c>
      <c r="F20" s="88">
        <v>93.5</v>
      </c>
      <c r="G20" s="88">
        <v>93.5</v>
      </c>
      <c r="H20" s="88">
        <v>93.5</v>
      </c>
      <c r="I20" s="85">
        <v>95</v>
      </c>
      <c r="J20" s="85">
        <v>95</v>
      </c>
      <c r="K20" s="85">
        <v>95</v>
      </c>
      <c r="L20" s="85">
        <v>95</v>
      </c>
      <c r="M20" s="85">
        <v>95</v>
      </c>
    </row>
    <row r="21" spans="1:20" ht="47.25" x14ac:dyDescent="0.25">
      <c r="A21" s="23" t="s">
        <v>339</v>
      </c>
      <c r="B21" s="176" t="s">
        <v>152</v>
      </c>
      <c r="C21" s="6" t="s">
        <v>96</v>
      </c>
      <c r="D21" s="74"/>
      <c r="E21" s="80">
        <v>92</v>
      </c>
      <c r="F21" s="88">
        <v>92</v>
      </c>
      <c r="G21" s="85">
        <v>92</v>
      </c>
      <c r="H21" s="85">
        <v>92</v>
      </c>
      <c r="I21" s="85">
        <v>92</v>
      </c>
      <c r="J21" s="85">
        <v>92</v>
      </c>
      <c r="K21" s="85">
        <v>92</v>
      </c>
      <c r="L21" s="85">
        <v>92</v>
      </c>
      <c r="M21" s="85">
        <v>92</v>
      </c>
    </row>
    <row r="22" spans="1:20" ht="31.5" x14ac:dyDescent="0.25">
      <c r="A22" s="23" t="s">
        <v>340</v>
      </c>
      <c r="B22" s="180" t="s">
        <v>154</v>
      </c>
      <c r="C22" s="5" t="s">
        <v>96</v>
      </c>
      <c r="D22" s="74"/>
      <c r="E22" s="80">
        <v>96</v>
      </c>
      <c r="F22" s="81">
        <v>96.5</v>
      </c>
      <c r="G22" s="82">
        <v>97</v>
      </c>
      <c r="H22" s="85">
        <v>97</v>
      </c>
      <c r="I22" s="85">
        <v>98</v>
      </c>
      <c r="J22" s="85">
        <v>98</v>
      </c>
      <c r="K22" s="85">
        <v>98</v>
      </c>
      <c r="L22" s="85">
        <v>98</v>
      </c>
      <c r="M22" s="85">
        <v>98</v>
      </c>
    </row>
    <row r="23" spans="1:20" ht="94.5" x14ac:dyDescent="0.25">
      <c r="A23" s="23" t="s">
        <v>341</v>
      </c>
      <c r="B23" s="176" t="s">
        <v>156</v>
      </c>
      <c r="C23" s="5" t="s">
        <v>96</v>
      </c>
      <c r="D23" s="74"/>
      <c r="E23" s="80">
        <v>2.5</v>
      </c>
      <c r="F23" s="81">
        <v>3</v>
      </c>
      <c r="G23" s="82">
        <v>3.4</v>
      </c>
      <c r="H23" s="85">
        <v>2.4</v>
      </c>
      <c r="I23" s="85">
        <v>2.8</v>
      </c>
      <c r="J23" s="85">
        <v>2.8</v>
      </c>
      <c r="K23" s="85">
        <v>2.8</v>
      </c>
      <c r="L23" s="85">
        <v>2.8</v>
      </c>
      <c r="M23" s="85">
        <v>2.8</v>
      </c>
    </row>
    <row r="24" spans="1:20" x14ac:dyDescent="0.25">
      <c r="A24" s="423" t="s">
        <v>342</v>
      </c>
      <c r="B24" s="424"/>
      <c r="C24" s="424"/>
      <c r="D24" s="424"/>
      <c r="E24" s="424"/>
      <c r="F24" s="424"/>
      <c r="G24" s="424"/>
      <c r="H24" s="424"/>
      <c r="I24" s="424"/>
      <c r="J24" s="424"/>
      <c r="K24" s="424"/>
      <c r="L24" s="425"/>
    </row>
    <row r="25" spans="1:20" ht="31.5" x14ac:dyDescent="0.25">
      <c r="A25" s="89" t="s">
        <v>343</v>
      </c>
      <c r="B25" s="180" t="s">
        <v>159</v>
      </c>
      <c r="C25" s="22" t="s">
        <v>96</v>
      </c>
      <c r="D25" s="68"/>
      <c r="E25" s="80">
        <v>75</v>
      </c>
      <c r="F25" s="81">
        <v>75</v>
      </c>
      <c r="G25" s="90">
        <v>75</v>
      </c>
      <c r="H25" s="71">
        <v>93</v>
      </c>
      <c r="I25" s="71">
        <v>93.2</v>
      </c>
      <c r="J25" s="71">
        <v>93.4</v>
      </c>
      <c r="K25" s="71">
        <v>93.5</v>
      </c>
      <c r="L25" s="71">
        <v>93.5</v>
      </c>
      <c r="M25" s="71">
        <v>93.5</v>
      </c>
      <c r="N25" s="181"/>
      <c r="O25" s="181"/>
      <c r="P25" s="181"/>
      <c r="Q25" s="181"/>
      <c r="R25" s="181"/>
      <c r="S25" s="181"/>
      <c r="T25" s="181"/>
    </row>
    <row r="26" spans="1:20" ht="31.5" x14ac:dyDescent="0.25">
      <c r="A26" s="89" t="s">
        <v>344</v>
      </c>
      <c r="B26" s="178" t="s">
        <v>345</v>
      </c>
      <c r="C26" s="22" t="s">
        <v>96</v>
      </c>
      <c r="D26" s="68"/>
      <c r="E26" s="80">
        <v>67</v>
      </c>
      <c r="F26" s="81">
        <v>70</v>
      </c>
      <c r="G26" s="90">
        <v>72</v>
      </c>
      <c r="H26" s="71">
        <v>95</v>
      </c>
      <c r="I26" s="71">
        <v>95</v>
      </c>
      <c r="J26" s="71">
        <v>96</v>
      </c>
      <c r="K26" s="71">
        <v>97</v>
      </c>
      <c r="L26" s="71">
        <v>97</v>
      </c>
      <c r="M26" s="71">
        <v>97</v>
      </c>
      <c r="N26" s="181"/>
      <c r="O26" s="181"/>
      <c r="P26" s="181"/>
      <c r="Q26" s="181"/>
      <c r="R26" s="181"/>
      <c r="S26" s="181"/>
      <c r="T26" s="181"/>
    </row>
    <row r="27" spans="1:20" ht="47.25" x14ac:dyDescent="0.25">
      <c r="A27" s="89" t="s">
        <v>346</v>
      </c>
      <c r="B27" s="176" t="s">
        <v>347</v>
      </c>
      <c r="C27" s="22" t="s">
        <v>96</v>
      </c>
      <c r="D27" s="68">
        <v>78.400000000000006</v>
      </c>
      <c r="E27" s="90">
        <v>81</v>
      </c>
      <c r="F27" s="90">
        <v>83</v>
      </c>
      <c r="G27" s="90">
        <v>85</v>
      </c>
      <c r="H27" s="71">
        <v>85</v>
      </c>
      <c r="I27" s="71">
        <v>85</v>
      </c>
      <c r="J27" s="71">
        <v>85</v>
      </c>
      <c r="K27" s="71">
        <v>85</v>
      </c>
      <c r="L27" s="71">
        <v>85</v>
      </c>
      <c r="M27" s="71">
        <v>85</v>
      </c>
    </row>
    <row r="28" spans="1:20" ht="31.5" x14ac:dyDescent="0.25">
      <c r="A28" s="89" t="s">
        <v>348</v>
      </c>
      <c r="B28" s="176" t="s">
        <v>163</v>
      </c>
      <c r="C28" s="22" t="s">
        <v>96</v>
      </c>
      <c r="D28" s="68"/>
      <c r="E28" s="80">
        <v>15</v>
      </c>
      <c r="F28" s="81">
        <v>15</v>
      </c>
      <c r="G28" s="90">
        <v>16.5</v>
      </c>
      <c r="H28" s="71">
        <v>18.3</v>
      </c>
      <c r="I28" s="71">
        <v>19.100000000000001</v>
      </c>
      <c r="J28" s="71">
        <v>19.5</v>
      </c>
      <c r="K28" s="71">
        <v>19.5</v>
      </c>
      <c r="L28" s="71">
        <v>19.5</v>
      </c>
      <c r="M28" s="71">
        <v>19.5</v>
      </c>
    </row>
    <row r="29" spans="1:20" x14ac:dyDescent="0.25">
      <c r="A29" s="130"/>
      <c r="B29" s="131"/>
      <c r="C29" s="132"/>
      <c r="D29" s="133"/>
      <c r="E29" s="133"/>
      <c r="F29" s="133"/>
      <c r="G29" s="133"/>
      <c r="H29" s="134"/>
      <c r="I29" s="134"/>
      <c r="J29" s="134"/>
    </row>
    <row r="30" spans="1:20" ht="20.25" customHeight="1" x14ac:dyDescent="0.25">
      <c r="A30" s="130"/>
      <c r="B30" s="131"/>
      <c r="C30" s="132"/>
      <c r="D30" s="133"/>
      <c r="E30" s="133"/>
      <c r="F30" s="133"/>
      <c r="G30" s="133"/>
      <c r="H30" s="134"/>
      <c r="I30" s="134"/>
      <c r="J30" s="134"/>
    </row>
    <row r="31" spans="1:20" ht="26.25" customHeight="1" x14ac:dyDescent="0.3">
      <c r="A31" s="182" t="s">
        <v>33</v>
      </c>
      <c r="B31" s="182"/>
      <c r="C31" s="182"/>
      <c r="D31" s="183"/>
      <c r="E31" s="183"/>
      <c r="F31" s="183"/>
      <c r="G31" s="184"/>
      <c r="H31" s="185" t="s">
        <v>34</v>
      </c>
      <c r="I31" s="185"/>
      <c r="J31" s="186"/>
    </row>
  </sheetData>
  <mergeCells count="19">
    <mergeCell ref="M3:M5"/>
    <mergeCell ref="A6:L6"/>
    <mergeCell ref="E1:L1"/>
    <mergeCell ref="A2:J2"/>
    <mergeCell ref="A3:A5"/>
    <mergeCell ref="B3:B5"/>
    <mergeCell ref="C3:C5"/>
    <mergeCell ref="D3:D5"/>
    <mergeCell ref="E3:E5"/>
    <mergeCell ref="F3:F5"/>
    <mergeCell ref="G3:G5"/>
    <mergeCell ref="H3:H5"/>
    <mergeCell ref="A7:L7"/>
    <mergeCell ref="A13:L13"/>
    <mergeCell ref="A24:L24"/>
    <mergeCell ref="I3:I5"/>
    <mergeCell ref="J3:J5"/>
    <mergeCell ref="K3:K5"/>
    <mergeCell ref="L3:L5"/>
  </mergeCells>
  <pageMargins left="0.31496062992125984" right="0.31496062992125984" top="0.55118110236220474" bottom="0.35433070866141736" header="0.31496062992125984" footer="0.31496062992125984"/>
  <pageSetup paperSize="9" scale="74" fitToHeight="4" orientation="landscape" r:id="rId1"/>
  <headerFooter differentFirst="1">
    <oddHeader>&amp;C&amp;P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138"/>
  <sheetViews>
    <sheetView view="pageBreakPreview" topLeftCell="I1" zoomScale="98" zoomScaleNormal="98" zoomScaleSheetLayoutView="98" workbookViewId="0">
      <selection activeCell="H3" sqref="H3:Q3"/>
    </sheetView>
  </sheetViews>
  <sheetFormatPr defaultColWidth="9.28515625" defaultRowHeight="15.75" x14ac:dyDescent="0.25"/>
  <cols>
    <col min="1" max="1" width="6.5703125" style="171" customWidth="1"/>
    <col min="2" max="2" width="60.7109375" style="245" customWidth="1"/>
    <col min="3" max="3" width="21.7109375" style="172" customWidth="1"/>
    <col min="4" max="5" width="9.28515625" style="172"/>
    <col min="6" max="6" width="14.85546875" style="172" customWidth="1"/>
    <col min="7" max="7" width="12.42578125" style="172" customWidth="1"/>
    <col min="8" max="8" width="12.7109375" style="172" customWidth="1"/>
    <col min="9" max="12" width="12.7109375" style="35" customWidth="1"/>
    <col min="13" max="13" width="15.28515625" style="35" customWidth="1"/>
    <col min="14" max="14" width="12.7109375" style="244" customWidth="1"/>
    <col min="15" max="17" width="12.7109375" style="35" customWidth="1"/>
    <col min="18" max="18" width="55.5703125" style="35" customWidth="1"/>
    <col min="19" max="19" width="12" style="35" customWidth="1"/>
    <col min="20" max="20" width="15.42578125" style="35" customWidth="1"/>
    <col min="21" max="21" width="21.28515625" style="35" customWidth="1"/>
    <col min="22" max="16384" width="9.28515625" style="35"/>
  </cols>
  <sheetData>
    <row r="1" spans="1:21" s="115" customFormat="1" ht="39" customHeight="1" x14ac:dyDescent="0.25">
      <c r="A1" s="138"/>
      <c r="B1" s="187"/>
      <c r="C1" s="140"/>
      <c r="D1" s="140"/>
      <c r="E1" s="140"/>
      <c r="F1" s="140"/>
      <c r="G1" s="140"/>
      <c r="H1" s="140"/>
      <c r="I1" s="415"/>
      <c r="J1" s="415"/>
      <c r="N1" s="188"/>
      <c r="O1" s="346" t="s">
        <v>349</v>
      </c>
      <c r="P1" s="346"/>
      <c r="Q1" s="346"/>
      <c r="R1" s="346"/>
      <c r="S1" s="141"/>
      <c r="T1" s="141"/>
      <c r="U1" s="141"/>
    </row>
    <row r="2" spans="1:21" s="115" customFormat="1" ht="23.25" customHeight="1" x14ac:dyDescent="0.25">
      <c r="A2" s="417" t="s">
        <v>257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s="417"/>
    </row>
    <row r="3" spans="1:21" s="115" customFormat="1" ht="24.75" customHeight="1" x14ac:dyDescent="0.25">
      <c r="A3" s="305" t="s">
        <v>88</v>
      </c>
      <c r="B3" s="312" t="s">
        <v>258</v>
      </c>
      <c r="C3" s="305" t="s">
        <v>7</v>
      </c>
      <c r="D3" s="305" t="s">
        <v>5</v>
      </c>
      <c r="E3" s="305"/>
      <c r="F3" s="305"/>
      <c r="G3" s="305"/>
      <c r="H3" s="305" t="s">
        <v>6</v>
      </c>
      <c r="I3" s="305"/>
      <c r="J3" s="305"/>
      <c r="K3" s="305"/>
      <c r="L3" s="305"/>
      <c r="M3" s="305"/>
      <c r="N3" s="305"/>
      <c r="O3" s="305"/>
      <c r="P3" s="305"/>
      <c r="Q3" s="305"/>
      <c r="R3" s="305" t="s">
        <v>259</v>
      </c>
    </row>
    <row r="4" spans="1:21" s="115" customFormat="1" ht="42" customHeight="1" x14ac:dyDescent="0.25">
      <c r="A4" s="305"/>
      <c r="B4" s="312"/>
      <c r="C4" s="305"/>
      <c r="D4" s="6" t="s">
        <v>7</v>
      </c>
      <c r="E4" s="6" t="s">
        <v>8</v>
      </c>
      <c r="F4" s="6" t="s">
        <v>9</v>
      </c>
      <c r="G4" s="6" t="s">
        <v>10</v>
      </c>
      <c r="H4" s="6">
        <v>2014</v>
      </c>
      <c r="I4" s="6">
        <v>2015</v>
      </c>
      <c r="J4" s="6">
        <v>2016</v>
      </c>
      <c r="K4" s="6">
        <v>2017</v>
      </c>
      <c r="L4" s="6">
        <v>2018</v>
      </c>
      <c r="M4" s="6">
        <v>2019</v>
      </c>
      <c r="N4" s="101">
        <v>2020</v>
      </c>
      <c r="O4" s="6">
        <v>2021</v>
      </c>
      <c r="P4" s="6">
        <v>2022</v>
      </c>
      <c r="Q4" s="6" t="s">
        <v>11</v>
      </c>
      <c r="R4" s="305"/>
    </row>
    <row r="5" spans="1:21" ht="26.25" customHeight="1" x14ac:dyDescent="0.25">
      <c r="A5" s="312" t="s">
        <v>350</v>
      </c>
      <c r="B5" s="312"/>
      <c r="C5" s="312"/>
      <c r="D5" s="312"/>
      <c r="E5" s="312"/>
      <c r="F5" s="312"/>
      <c r="G5" s="312"/>
      <c r="H5" s="312"/>
      <c r="I5" s="312"/>
      <c r="J5" s="312"/>
      <c r="K5" s="312"/>
      <c r="L5" s="312"/>
      <c r="M5" s="312"/>
      <c r="N5" s="312"/>
      <c r="O5" s="312"/>
      <c r="P5" s="312"/>
      <c r="Q5" s="312"/>
      <c r="R5" s="312"/>
    </row>
    <row r="6" spans="1:21" ht="24" customHeight="1" x14ac:dyDescent="0.25">
      <c r="A6" s="407" t="s">
        <v>328</v>
      </c>
      <c r="B6" s="407"/>
      <c r="C6" s="407"/>
      <c r="D6" s="407"/>
      <c r="E6" s="407"/>
      <c r="F6" s="407"/>
      <c r="G6" s="407"/>
      <c r="H6" s="407"/>
      <c r="I6" s="407"/>
      <c r="J6" s="407"/>
      <c r="K6" s="407"/>
      <c r="L6" s="407"/>
      <c r="M6" s="407"/>
      <c r="N6" s="407"/>
      <c r="O6" s="407"/>
      <c r="P6" s="407"/>
      <c r="Q6" s="407"/>
      <c r="R6" s="407"/>
    </row>
    <row r="7" spans="1:21" s="136" customFormat="1" ht="79.5" customHeight="1" x14ac:dyDescent="0.2">
      <c r="A7" s="23" t="s">
        <v>124</v>
      </c>
      <c r="B7" s="21" t="s">
        <v>351</v>
      </c>
      <c r="C7" s="6" t="s">
        <v>17</v>
      </c>
      <c r="D7" s="189">
        <v>975</v>
      </c>
      <c r="E7" s="189" t="s">
        <v>352</v>
      </c>
      <c r="F7" s="189" t="s">
        <v>353</v>
      </c>
      <c r="G7" s="189" t="s">
        <v>354</v>
      </c>
      <c r="H7" s="190">
        <v>1103.3</v>
      </c>
      <c r="I7" s="190">
        <v>0</v>
      </c>
      <c r="J7" s="190">
        <v>0</v>
      </c>
      <c r="K7" s="190">
        <f>479.9+800+106.1</f>
        <v>1386</v>
      </c>
      <c r="L7" s="190"/>
      <c r="M7" s="190"/>
      <c r="N7" s="191"/>
      <c r="O7" s="190"/>
      <c r="P7" s="190">
        <f>O7</f>
        <v>0</v>
      </c>
      <c r="Q7" s="190">
        <f>SUM(H7:P7)</f>
        <v>2489.3000000000002</v>
      </c>
      <c r="R7" s="192" t="s">
        <v>355</v>
      </c>
      <c r="S7" s="193"/>
    </row>
    <row r="8" spans="1:21" ht="35.1" customHeight="1" x14ac:dyDescent="0.25">
      <c r="A8" s="442" t="s">
        <v>127</v>
      </c>
      <c r="B8" s="438" t="s">
        <v>356</v>
      </c>
      <c r="C8" s="312" t="s">
        <v>17</v>
      </c>
      <c r="D8" s="194" t="s">
        <v>18</v>
      </c>
      <c r="E8" s="194" t="s">
        <v>352</v>
      </c>
      <c r="F8" s="194" t="s">
        <v>357</v>
      </c>
      <c r="G8" s="194" t="s">
        <v>266</v>
      </c>
      <c r="H8" s="190">
        <v>2319.5</v>
      </c>
      <c r="I8" s="190">
        <v>6037.2</v>
      </c>
      <c r="J8" s="190">
        <v>3775.2</v>
      </c>
      <c r="K8" s="190">
        <v>6081.4</v>
      </c>
      <c r="L8" s="190">
        <v>2601.9</v>
      </c>
      <c r="M8" s="190">
        <v>2131.5</v>
      </c>
      <c r="N8" s="191"/>
      <c r="O8" s="190"/>
      <c r="P8" s="190">
        <f t="shared" ref="P8:P29" si="0">O8</f>
        <v>0</v>
      </c>
      <c r="Q8" s="190">
        <f t="shared" ref="Q8:Q29" si="1">SUM(H8:P8)</f>
        <v>22946.700000000004</v>
      </c>
      <c r="R8" s="444" t="s">
        <v>358</v>
      </c>
    </row>
    <row r="9" spans="1:21" ht="35.1" customHeight="1" x14ac:dyDescent="0.25">
      <c r="A9" s="442"/>
      <c r="B9" s="438"/>
      <c r="C9" s="312"/>
      <c r="D9" s="194" t="s">
        <v>18</v>
      </c>
      <c r="E9" s="194" t="s">
        <v>352</v>
      </c>
      <c r="F9" s="194" t="s">
        <v>357</v>
      </c>
      <c r="G9" s="194" t="s">
        <v>268</v>
      </c>
      <c r="H9" s="190">
        <v>389.7</v>
      </c>
      <c r="I9" s="190">
        <v>590.1</v>
      </c>
      <c r="J9" s="190">
        <v>889.8</v>
      </c>
      <c r="K9" s="190">
        <f>407.7+80.2+100+235.4</f>
        <v>823.3</v>
      </c>
      <c r="L9" s="190">
        <v>1366.1</v>
      </c>
      <c r="M9" s="190">
        <v>687.2</v>
      </c>
      <c r="N9" s="191"/>
      <c r="O9" s="190"/>
      <c r="P9" s="190">
        <f t="shared" si="0"/>
        <v>0</v>
      </c>
      <c r="Q9" s="190">
        <f t="shared" si="1"/>
        <v>4746.2</v>
      </c>
      <c r="R9" s="445"/>
    </row>
    <row r="10" spans="1:21" ht="35.1" customHeight="1" x14ac:dyDescent="0.25">
      <c r="A10" s="442"/>
      <c r="B10" s="438"/>
      <c r="C10" s="312"/>
      <c r="D10" s="194" t="s">
        <v>18</v>
      </c>
      <c r="E10" s="194" t="s">
        <v>352</v>
      </c>
      <c r="F10" s="194" t="s">
        <v>357</v>
      </c>
      <c r="G10" s="194" t="s">
        <v>296</v>
      </c>
      <c r="H10" s="190"/>
      <c r="I10" s="190"/>
      <c r="J10" s="190"/>
      <c r="K10" s="190"/>
      <c r="L10" s="190">
        <v>612.20000000000005</v>
      </c>
      <c r="M10" s="190"/>
      <c r="N10" s="191"/>
      <c r="O10" s="190"/>
      <c r="P10" s="190">
        <f t="shared" si="0"/>
        <v>0</v>
      </c>
      <c r="Q10" s="190">
        <f t="shared" si="1"/>
        <v>612.20000000000005</v>
      </c>
      <c r="R10" s="445"/>
    </row>
    <row r="11" spans="1:21" ht="35.1" customHeight="1" x14ac:dyDescent="0.25">
      <c r="A11" s="442"/>
      <c r="B11" s="438"/>
      <c r="C11" s="312"/>
      <c r="D11" s="194" t="s">
        <v>18</v>
      </c>
      <c r="E11" s="194" t="s">
        <v>352</v>
      </c>
      <c r="F11" s="194" t="s">
        <v>359</v>
      </c>
      <c r="G11" s="194" t="s">
        <v>266</v>
      </c>
      <c r="H11" s="190">
        <v>0</v>
      </c>
      <c r="I11" s="190">
        <v>0</v>
      </c>
      <c r="J11" s="190">
        <v>531.20000000000005</v>
      </c>
      <c r="K11" s="190">
        <v>959.7</v>
      </c>
      <c r="L11" s="190">
        <v>486.3</v>
      </c>
      <c r="M11" s="190">
        <v>828.9</v>
      </c>
      <c r="N11" s="191"/>
      <c r="O11" s="190"/>
      <c r="P11" s="190">
        <f t="shared" si="0"/>
        <v>0</v>
      </c>
      <c r="Q11" s="190">
        <f t="shared" si="1"/>
        <v>2806.1</v>
      </c>
      <c r="R11" s="445"/>
    </row>
    <row r="12" spans="1:21" ht="35.1" customHeight="1" x14ac:dyDescent="0.25">
      <c r="A12" s="442"/>
      <c r="B12" s="438"/>
      <c r="C12" s="312"/>
      <c r="D12" s="194" t="s">
        <v>18</v>
      </c>
      <c r="E12" s="194" t="s">
        <v>352</v>
      </c>
      <c r="F12" s="194" t="s">
        <v>359</v>
      </c>
      <c r="G12" s="194" t="s">
        <v>268</v>
      </c>
      <c r="H12" s="190">
        <v>0</v>
      </c>
      <c r="I12" s="190">
        <v>0</v>
      </c>
      <c r="J12" s="190">
        <v>278.7</v>
      </c>
      <c r="K12" s="190">
        <v>0</v>
      </c>
      <c r="L12" s="190">
        <v>423</v>
      </c>
      <c r="M12" s="190">
        <v>94</v>
      </c>
      <c r="N12" s="191"/>
      <c r="O12" s="190"/>
      <c r="P12" s="190">
        <f t="shared" si="0"/>
        <v>0</v>
      </c>
      <c r="Q12" s="190">
        <f t="shared" si="1"/>
        <v>795.7</v>
      </c>
      <c r="R12" s="445"/>
    </row>
    <row r="13" spans="1:21" ht="35.1" customHeight="1" x14ac:dyDescent="0.25">
      <c r="A13" s="442"/>
      <c r="B13" s="438"/>
      <c r="C13" s="312"/>
      <c r="D13" s="194" t="s">
        <v>18</v>
      </c>
      <c r="E13" s="194" t="s">
        <v>352</v>
      </c>
      <c r="F13" s="194" t="s">
        <v>360</v>
      </c>
      <c r="G13" s="194" t="s">
        <v>266</v>
      </c>
      <c r="H13" s="190">
        <v>0</v>
      </c>
      <c r="I13" s="190">
        <v>0</v>
      </c>
      <c r="J13" s="190">
        <v>106.2</v>
      </c>
      <c r="K13" s="190">
        <v>48</v>
      </c>
      <c r="L13" s="190"/>
      <c r="M13" s="190"/>
      <c r="N13" s="191"/>
      <c r="O13" s="190"/>
      <c r="P13" s="190">
        <f t="shared" si="0"/>
        <v>0</v>
      </c>
      <c r="Q13" s="190">
        <f t="shared" si="1"/>
        <v>154.19999999999999</v>
      </c>
      <c r="R13" s="445"/>
    </row>
    <row r="14" spans="1:21" ht="35.1" customHeight="1" x14ac:dyDescent="0.25">
      <c r="A14" s="442"/>
      <c r="B14" s="438"/>
      <c r="C14" s="312"/>
      <c r="D14" s="194" t="s">
        <v>18</v>
      </c>
      <c r="E14" s="194" t="s">
        <v>352</v>
      </c>
      <c r="F14" s="194" t="s">
        <v>360</v>
      </c>
      <c r="G14" s="194" t="s">
        <v>268</v>
      </c>
      <c r="H14" s="190">
        <v>0</v>
      </c>
      <c r="I14" s="190">
        <v>0</v>
      </c>
      <c r="J14" s="190">
        <v>55.8</v>
      </c>
      <c r="K14" s="190">
        <v>0</v>
      </c>
      <c r="L14" s="190">
        <v>46</v>
      </c>
      <c r="M14" s="190">
        <v>47.3</v>
      </c>
      <c r="N14" s="191"/>
      <c r="O14" s="190"/>
      <c r="P14" s="190">
        <f t="shared" si="0"/>
        <v>0</v>
      </c>
      <c r="Q14" s="190">
        <f t="shared" si="1"/>
        <v>149.1</v>
      </c>
      <c r="R14" s="445"/>
    </row>
    <row r="15" spans="1:21" ht="35.1" customHeight="1" x14ac:dyDescent="0.25">
      <c r="A15" s="23"/>
      <c r="B15" s="195"/>
      <c r="C15" s="21"/>
      <c r="D15" s="194" t="s">
        <v>18</v>
      </c>
      <c r="E15" s="194" t="s">
        <v>352</v>
      </c>
      <c r="F15" s="194" t="s">
        <v>361</v>
      </c>
      <c r="G15" s="194" t="s">
        <v>266</v>
      </c>
      <c r="H15" s="190"/>
      <c r="I15" s="190"/>
      <c r="J15" s="190"/>
      <c r="K15" s="190"/>
      <c r="L15" s="190"/>
      <c r="M15" s="190">
        <f>2957.5-160</f>
        <v>2797.5</v>
      </c>
      <c r="N15" s="191"/>
      <c r="O15" s="190"/>
      <c r="P15" s="190">
        <f t="shared" si="0"/>
        <v>0</v>
      </c>
      <c r="Q15" s="190">
        <f t="shared" si="1"/>
        <v>2797.5</v>
      </c>
      <c r="R15" s="445"/>
    </row>
    <row r="16" spans="1:21" ht="35.1" customHeight="1" x14ac:dyDescent="0.25">
      <c r="A16" s="23"/>
      <c r="B16" s="195"/>
      <c r="C16" s="21"/>
      <c r="D16" s="194" t="s">
        <v>18</v>
      </c>
      <c r="E16" s="194" t="s">
        <v>352</v>
      </c>
      <c r="F16" s="194" t="s">
        <v>362</v>
      </c>
      <c r="G16" s="194" t="s">
        <v>266</v>
      </c>
      <c r="H16" s="190"/>
      <c r="I16" s="190"/>
      <c r="J16" s="190"/>
      <c r="K16" s="190"/>
      <c r="L16" s="190"/>
      <c r="M16" s="190">
        <v>160</v>
      </c>
      <c r="N16" s="191"/>
      <c r="O16" s="190"/>
      <c r="P16" s="190">
        <f t="shared" si="0"/>
        <v>0</v>
      </c>
      <c r="Q16" s="190">
        <f t="shared" si="1"/>
        <v>160</v>
      </c>
      <c r="R16" s="445"/>
    </row>
    <row r="17" spans="1:18" ht="35.1" customHeight="1" x14ac:dyDescent="0.25">
      <c r="A17" s="23"/>
      <c r="B17" s="195"/>
      <c r="C17" s="21"/>
      <c r="D17" s="194" t="s">
        <v>18</v>
      </c>
      <c r="E17" s="194" t="s">
        <v>352</v>
      </c>
      <c r="F17" s="194" t="s">
        <v>363</v>
      </c>
      <c r="G17" s="194" t="s">
        <v>364</v>
      </c>
      <c r="H17" s="190"/>
      <c r="I17" s="190"/>
      <c r="J17" s="190"/>
      <c r="K17" s="190"/>
      <c r="L17" s="190">
        <v>4549.5</v>
      </c>
      <c r="M17" s="190">
        <v>3939.9</v>
      </c>
      <c r="N17" s="191"/>
      <c r="O17" s="190"/>
      <c r="P17" s="190">
        <f t="shared" si="0"/>
        <v>0</v>
      </c>
      <c r="Q17" s="190">
        <f t="shared" si="1"/>
        <v>8489.4</v>
      </c>
      <c r="R17" s="445"/>
    </row>
    <row r="18" spans="1:18" ht="35.1" customHeight="1" x14ac:dyDescent="0.25">
      <c r="A18" s="23"/>
      <c r="B18" s="195"/>
      <c r="C18" s="21"/>
      <c r="D18" s="194" t="s">
        <v>18</v>
      </c>
      <c r="E18" s="194" t="s">
        <v>352</v>
      </c>
      <c r="F18" s="194" t="s">
        <v>365</v>
      </c>
      <c r="G18" s="194" t="s">
        <v>364</v>
      </c>
      <c r="H18" s="190"/>
      <c r="I18" s="190"/>
      <c r="J18" s="190"/>
      <c r="K18" s="190"/>
      <c r="L18" s="190">
        <v>505.5</v>
      </c>
      <c r="M18" s="190">
        <v>39.799999999999997</v>
      </c>
      <c r="N18" s="191"/>
      <c r="O18" s="190"/>
      <c r="P18" s="190">
        <f t="shared" si="0"/>
        <v>0</v>
      </c>
      <c r="Q18" s="190">
        <f t="shared" si="1"/>
        <v>545.29999999999995</v>
      </c>
      <c r="R18" s="445"/>
    </row>
    <row r="19" spans="1:18" ht="35.1" customHeight="1" x14ac:dyDescent="0.25">
      <c r="A19" s="23"/>
      <c r="B19" s="195"/>
      <c r="C19" s="21"/>
      <c r="D19" s="194"/>
      <c r="E19" s="194" t="s">
        <v>352</v>
      </c>
      <c r="F19" s="194" t="s">
        <v>366</v>
      </c>
      <c r="G19" s="196">
        <v>240</v>
      </c>
      <c r="H19" s="190"/>
      <c r="I19" s="190"/>
      <c r="J19" s="190"/>
      <c r="K19" s="190"/>
      <c r="L19" s="190"/>
      <c r="M19" s="190">
        <v>7000</v>
      </c>
      <c r="N19" s="191"/>
      <c r="O19" s="190"/>
      <c r="P19" s="190">
        <f t="shared" si="0"/>
        <v>0</v>
      </c>
      <c r="Q19" s="190">
        <f t="shared" si="1"/>
        <v>7000</v>
      </c>
      <c r="R19" s="446"/>
    </row>
    <row r="20" spans="1:18" ht="35.1" customHeight="1" x14ac:dyDescent="0.25">
      <c r="A20" s="442" t="s">
        <v>129</v>
      </c>
      <c r="B20" s="438" t="s">
        <v>367</v>
      </c>
      <c r="C20" s="305" t="s">
        <v>17</v>
      </c>
      <c r="D20" s="194" t="s">
        <v>18</v>
      </c>
      <c r="E20" s="194" t="s">
        <v>368</v>
      </c>
      <c r="F20" s="194" t="s">
        <v>369</v>
      </c>
      <c r="G20" s="194" t="s">
        <v>266</v>
      </c>
      <c r="H20" s="190">
        <v>5267.9</v>
      </c>
      <c r="I20" s="190">
        <v>4744.6000000000004</v>
      </c>
      <c r="J20" s="190">
        <v>5833</v>
      </c>
      <c r="K20" s="190">
        <v>6378.5</v>
      </c>
      <c r="L20" s="190">
        <v>8215.2000000000007</v>
      </c>
      <c r="M20" s="190">
        <v>8442.4</v>
      </c>
      <c r="N20" s="197">
        <v>8450</v>
      </c>
      <c r="O20" s="190">
        <v>8450</v>
      </c>
      <c r="P20" s="190">
        <f t="shared" si="0"/>
        <v>8450</v>
      </c>
      <c r="Q20" s="190">
        <f t="shared" si="1"/>
        <v>64231.6</v>
      </c>
      <c r="R20" s="312" t="s">
        <v>370</v>
      </c>
    </row>
    <row r="21" spans="1:18" ht="35.1" customHeight="1" x14ac:dyDescent="0.25">
      <c r="A21" s="442"/>
      <c r="B21" s="438"/>
      <c r="C21" s="305"/>
      <c r="D21" s="194" t="s">
        <v>18</v>
      </c>
      <c r="E21" s="194" t="s">
        <v>368</v>
      </c>
      <c r="F21" s="194" t="s">
        <v>369</v>
      </c>
      <c r="G21" s="194" t="s">
        <v>268</v>
      </c>
      <c r="H21" s="190">
        <v>1080.8</v>
      </c>
      <c r="I21" s="190">
        <v>1020.8</v>
      </c>
      <c r="J21" s="190">
        <v>1237.7</v>
      </c>
      <c r="K21" s="190">
        <v>1529.5</v>
      </c>
      <c r="L21" s="190">
        <v>1757.5</v>
      </c>
      <c r="M21" s="190">
        <v>1675.8</v>
      </c>
      <c r="N21" s="197">
        <v>1675.8</v>
      </c>
      <c r="O21" s="190">
        <v>1675.8</v>
      </c>
      <c r="P21" s="190">
        <f t="shared" si="0"/>
        <v>1675.8</v>
      </c>
      <c r="Q21" s="190">
        <f t="shared" si="1"/>
        <v>13329.499999999998</v>
      </c>
      <c r="R21" s="312"/>
    </row>
    <row r="22" spans="1:18" ht="35.1" customHeight="1" x14ac:dyDescent="0.25">
      <c r="A22" s="442"/>
      <c r="B22" s="438"/>
      <c r="C22" s="305"/>
      <c r="D22" s="194" t="s">
        <v>18</v>
      </c>
      <c r="E22" s="194" t="s">
        <v>368</v>
      </c>
      <c r="F22" s="194" t="s">
        <v>371</v>
      </c>
      <c r="G22" s="194" t="s">
        <v>266</v>
      </c>
      <c r="H22" s="190">
        <v>0</v>
      </c>
      <c r="I22" s="190">
        <v>0</v>
      </c>
      <c r="J22" s="190">
        <v>187.8</v>
      </c>
      <c r="K22" s="190">
        <v>0</v>
      </c>
      <c r="L22" s="190">
        <v>0</v>
      </c>
      <c r="M22" s="190">
        <v>0</v>
      </c>
      <c r="N22" s="191">
        <v>0</v>
      </c>
      <c r="O22" s="190">
        <v>0</v>
      </c>
      <c r="P22" s="190">
        <f t="shared" si="0"/>
        <v>0</v>
      </c>
      <c r="Q22" s="190">
        <f t="shared" si="1"/>
        <v>187.8</v>
      </c>
      <c r="R22" s="312"/>
    </row>
    <row r="23" spans="1:18" ht="35.1" customHeight="1" x14ac:dyDescent="0.25">
      <c r="A23" s="442"/>
      <c r="B23" s="438"/>
      <c r="C23" s="305"/>
      <c r="D23" s="194" t="s">
        <v>18</v>
      </c>
      <c r="E23" s="194" t="s">
        <v>368</v>
      </c>
      <c r="F23" s="194" t="s">
        <v>371</v>
      </c>
      <c r="G23" s="194" t="s">
        <v>268</v>
      </c>
      <c r="H23" s="190">
        <v>0</v>
      </c>
      <c r="I23" s="190">
        <v>0</v>
      </c>
      <c r="J23" s="190">
        <v>101.5</v>
      </c>
      <c r="K23" s="190">
        <v>0</v>
      </c>
      <c r="L23" s="190">
        <v>0</v>
      </c>
      <c r="M23" s="190">
        <v>0</v>
      </c>
      <c r="N23" s="191">
        <v>0</v>
      </c>
      <c r="O23" s="190">
        <v>0</v>
      </c>
      <c r="P23" s="190">
        <f t="shared" si="0"/>
        <v>0</v>
      </c>
      <c r="Q23" s="190">
        <f t="shared" si="1"/>
        <v>101.5</v>
      </c>
      <c r="R23" s="312"/>
    </row>
    <row r="24" spans="1:18" s="55" customFormat="1" ht="62.25" customHeight="1" x14ac:dyDescent="0.25">
      <c r="A24" s="198" t="s">
        <v>132</v>
      </c>
      <c r="B24" s="195" t="s">
        <v>372</v>
      </c>
      <c r="C24" s="21" t="s">
        <v>17</v>
      </c>
      <c r="D24" s="194" t="s">
        <v>18</v>
      </c>
      <c r="E24" s="194" t="s">
        <v>352</v>
      </c>
      <c r="F24" s="194" t="s">
        <v>373</v>
      </c>
      <c r="G24" s="194" t="s">
        <v>266</v>
      </c>
      <c r="H24" s="190"/>
      <c r="I24" s="190">
        <v>694</v>
      </c>
      <c r="J24" s="190"/>
      <c r="K24" s="190"/>
      <c r="L24" s="190"/>
      <c r="M24" s="190"/>
      <c r="N24" s="191"/>
      <c r="O24" s="190"/>
      <c r="P24" s="190">
        <f t="shared" si="0"/>
        <v>0</v>
      </c>
      <c r="Q24" s="190">
        <f t="shared" si="1"/>
        <v>694</v>
      </c>
      <c r="R24" s="443"/>
    </row>
    <row r="25" spans="1:18" s="55" customFormat="1" ht="63.75" customHeight="1" x14ac:dyDescent="0.25">
      <c r="A25" s="198" t="s">
        <v>134</v>
      </c>
      <c r="B25" s="195" t="s">
        <v>374</v>
      </c>
      <c r="C25" s="21" t="s">
        <v>17</v>
      </c>
      <c r="D25" s="194" t="s">
        <v>18</v>
      </c>
      <c r="E25" s="194" t="s">
        <v>352</v>
      </c>
      <c r="F25" s="194" t="s">
        <v>375</v>
      </c>
      <c r="G25" s="194" t="s">
        <v>266</v>
      </c>
      <c r="H25" s="190">
        <v>0</v>
      </c>
      <c r="I25" s="190">
        <v>7.3</v>
      </c>
      <c r="J25" s="190"/>
      <c r="K25" s="190"/>
      <c r="L25" s="190"/>
      <c r="M25" s="190"/>
      <c r="N25" s="191"/>
      <c r="O25" s="190"/>
      <c r="P25" s="190">
        <f t="shared" si="0"/>
        <v>0</v>
      </c>
      <c r="Q25" s="190">
        <f t="shared" si="1"/>
        <v>7.3</v>
      </c>
      <c r="R25" s="443"/>
    </row>
    <row r="26" spans="1:18" ht="46.5" customHeight="1" x14ac:dyDescent="0.25">
      <c r="A26" s="198" t="s">
        <v>376</v>
      </c>
      <c r="B26" s="195" t="s">
        <v>377</v>
      </c>
      <c r="C26" s="21" t="s">
        <v>17</v>
      </c>
      <c r="D26" s="194" t="s">
        <v>18</v>
      </c>
      <c r="E26" s="194" t="s">
        <v>352</v>
      </c>
      <c r="F26" s="194" t="s">
        <v>378</v>
      </c>
      <c r="G26" s="194" t="s">
        <v>379</v>
      </c>
      <c r="H26" s="190"/>
      <c r="I26" s="190"/>
      <c r="J26" s="190">
        <v>6.8</v>
      </c>
      <c r="K26" s="190">
        <f>6.8+86.4</f>
        <v>93.2</v>
      </c>
      <c r="L26" s="190">
        <f>46.4+46.8</f>
        <v>93.199999999999989</v>
      </c>
      <c r="M26" s="190">
        <v>7.9</v>
      </c>
      <c r="N26" s="191"/>
      <c r="O26" s="190"/>
      <c r="P26" s="190">
        <f t="shared" si="0"/>
        <v>0</v>
      </c>
      <c r="Q26" s="190">
        <f t="shared" si="1"/>
        <v>201.1</v>
      </c>
      <c r="R26" s="312" t="s">
        <v>380</v>
      </c>
    </row>
    <row r="27" spans="1:18" ht="35.1" customHeight="1" x14ac:dyDescent="0.25">
      <c r="A27" s="442" t="s">
        <v>381</v>
      </c>
      <c r="B27" s="438" t="s">
        <v>382</v>
      </c>
      <c r="C27" s="312" t="s">
        <v>17</v>
      </c>
      <c r="D27" s="194" t="s">
        <v>18</v>
      </c>
      <c r="E27" s="194" t="s">
        <v>352</v>
      </c>
      <c r="F27" s="194" t="s">
        <v>378</v>
      </c>
      <c r="G27" s="194" t="s">
        <v>379</v>
      </c>
      <c r="H27" s="190"/>
      <c r="I27" s="190"/>
      <c r="J27" s="190">
        <v>16.7</v>
      </c>
      <c r="K27" s="190">
        <f>10.1+2</f>
        <v>12.1</v>
      </c>
      <c r="L27" s="190">
        <v>10.5</v>
      </c>
      <c r="M27" s="190">
        <v>1.9</v>
      </c>
      <c r="N27" s="191"/>
      <c r="O27" s="190"/>
      <c r="P27" s="190">
        <f t="shared" si="0"/>
        <v>0</v>
      </c>
      <c r="Q27" s="190">
        <f t="shared" si="1"/>
        <v>41.199999999999996</v>
      </c>
      <c r="R27" s="312"/>
    </row>
    <row r="28" spans="1:18" ht="35.1" customHeight="1" x14ac:dyDescent="0.25">
      <c r="A28" s="442"/>
      <c r="B28" s="438"/>
      <c r="C28" s="312"/>
      <c r="D28" s="194" t="s">
        <v>18</v>
      </c>
      <c r="E28" s="194" t="s">
        <v>352</v>
      </c>
      <c r="F28" s="194" t="s">
        <v>383</v>
      </c>
      <c r="G28" s="194" t="s">
        <v>268</v>
      </c>
      <c r="H28" s="190"/>
      <c r="I28" s="190"/>
      <c r="J28" s="190">
        <v>7.2</v>
      </c>
      <c r="K28" s="190"/>
      <c r="L28" s="190"/>
      <c r="M28" s="190"/>
      <c r="N28" s="191"/>
      <c r="O28" s="190"/>
      <c r="P28" s="190">
        <f t="shared" si="0"/>
        <v>0</v>
      </c>
      <c r="Q28" s="190">
        <f t="shared" si="1"/>
        <v>7.2</v>
      </c>
      <c r="R28" s="312"/>
    </row>
    <row r="29" spans="1:18" ht="35.1" customHeight="1" x14ac:dyDescent="0.25">
      <c r="A29" s="440" t="s">
        <v>318</v>
      </c>
      <c r="B29" s="440"/>
      <c r="C29" s="199"/>
      <c r="D29" s="200"/>
      <c r="E29" s="200"/>
      <c r="F29" s="200"/>
      <c r="G29" s="200"/>
      <c r="H29" s="48">
        <f t="shared" ref="H29:N29" si="2">SUM(H7:H28)</f>
        <v>10161.199999999999</v>
      </c>
      <c r="I29" s="48">
        <f t="shared" si="2"/>
        <v>13094</v>
      </c>
      <c r="J29" s="48">
        <f t="shared" si="2"/>
        <v>13027.6</v>
      </c>
      <c r="K29" s="48">
        <f t="shared" si="2"/>
        <v>17311.7</v>
      </c>
      <c r="L29" s="48">
        <f t="shared" si="2"/>
        <v>20666.900000000001</v>
      </c>
      <c r="M29" s="48">
        <f t="shared" si="2"/>
        <v>27854.100000000002</v>
      </c>
      <c r="N29" s="201">
        <f t="shared" si="2"/>
        <v>10125.799999999999</v>
      </c>
      <c r="O29" s="48">
        <f>SUM(O7:O28)</f>
        <v>10125.799999999999</v>
      </c>
      <c r="P29" s="190">
        <f t="shared" si="0"/>
        <v>10125.799999999999</v>
      </c>
      <c r="Q29" s="190">
        <f t="shared" si="1"/>
        <v>132492.9</v>
      </c>
      <c r="R29" s="202"/>
    </row>
    <row r="30" spans="1:18" ht="33" customHeight="1" x14ac:dyDescent="0.25">
      <c r="A30" s="407" t="s">
        <v>331</v>
      </c>
      <c r="B30" s="407"/>
      <c r="C30" s="407"/>
      <c r="D30" s="407"/>
      <c r="E30" s="407"/>
      <c r="F30" s="407"/>
      <c r="G30" s="407"/>
      <c r="H30" s="407"/>
      <c r="I30" s="407"/>
      <c r="J30" s="407"/>
      <c r="K30" s="407"/>
      <c r="L30" s="407"/>
      <c r="M30" s="407"/>
      <c r="N30" s="407"/>
      <c r="O30" s="407"/>
      <c r="P30" s="407"/>
      <c r="Q30" s="407"/>
      <c r="R30" s="407"/>
    </row>
    <row r="31" spans="1:18" ht="35.1" customHeight="1" x14ac:dyDescent="0.25">
      <c r="A31" s="441" t="s">
        <v>137</v>
      </c>
      <c r="B31" s="438" t="s">
        <v>384</v>
      </c>
      <c r="C31" s="312"/>
      <c r="D31" s="21" t="s">
        <v>18</v>
      </c>
      <c r="E31" s="196" t="s">
        <v>352</v>
      </c>
      <c r="F31" s="194" t="s">
        <v>357</v>
      </c>
      <c r="G31" s="196">
        <v>110</v>
      </c>
      <c r="H31" s="190">
        <v>13238</v>
      </c>
      <c r="I31" s="190">
        <v>13739.9</v>
      </c>
      <c r="J31" s="190">
        <v>12713.2</v>
      </c>
      <c r="K31" s="190">
        <v>12251.6</v>
      </c>
      <c r="L31" s="190">
        <v>11621.6</v>
      </c>
      <c r="M31" s="190">
        <v>6639.3</v>
      </c>
      <c r="N31" s="191">
        <v>0</v>
      </c>
      <c r="O31" s="190">
        <v>0</v>
      </c>
      <c r="P31" s="190">
        <v>0</v>
      </c>
      <c r="Q31" s="190">
        <f>SUM(H31:P31)</f>
        <v>70203.600000000006</v>
      </c>
      <c r="R31" s="312" t="s">
        <v>385</v>
      </c>
    </row>
    <row r="32" spans="1:18" ht="35.1" customHeight="1" x14ac:dyDescent="0.25">
      <c r="A32" s="441"/>
      <c r="B32" s="438"/>
      <c r="C32" s="312"/>
      <c r="D32" s="21" t="s">
        <v>18</v>
      </c>
      <c r="E32" s="196" t="s">
        <v>352</v>
      </c>
      <c r="F32" s="194" t="s">
        <v>357</v>
      </c>
      <c r="G32" s="196">
        <v>240</v>
      </c>
      <c r="H32" s="190">
        <f>6496+150</f>
        <v>6646</v>
      </c>
      <c r="I32" s="190">
        <f>7475.8+89.9</f>
        <v>7565.7</v>
      </c>
      <c r="J32" s="190">
        <v>8087.8</v>
      </c>
      <c r="K32" s="190">
        <v>7359.7</v>
      </c>
      <c r="L32" s="190">
        <f>7456-L10</f>
        <v>6843.8</v>
      </c>
      <c r="M32" s="190">
        <v>3609.1</v>
      </c>
      <c r="N32" s="191">
        <v>0</v>
      </c>
      <c r="O32" s="190">
        <v>0</v>
      </c>
      <c r="P32" s="190">
        <v>0</v>
      </c>
      <c r="Q32" s="190">
        <f t="shared" ref="Q32:Q75" si="3">SUM(H32:P32)</f>
        <v>40112.1</v>
      </c>
      <c r="R32" s="312"/>
    </row>
    <row r="33" spans="1:18" ht="35.1" customHeight="1" x14ac:dyDescent="0.25">
      <c r="A33" s="441"/>
      <c r="B33" s="438"/>
      <c r="C33" s="312"/>
      <c r="D33" s="21" t="s">
        <v>18</v>
      </c>
      <c r="E33" s="196" t="s">
        <v>352</v>
      </c>
      <c r="F33" s="194" t="s">
        <v>357</v>
      </c>
      <c r="G33" s="196">
        <v>611</v>
      </c>
      <c r="H33" s="190">
        <v>36650.199999999997</v>
      </c>
      <c r="I33" s="190">
        <v>39146.800000000003</v>
      </c>
      <c r="J33" s="190">
        <v>21385.4</v>
      </c>
      <c r="K33" s="190">
        <v>20376.5</v>
      </c>
      <c r="L33" s="190">
        <v>21744.3</v>
      </c>
      <c r="M33" s="190">
        <v>21710.799999999999</v>
      </c>
      <c r="N33" s="191">
        <v>18948.400000000001</v>
      </c>
      <c r="O33" s="190">
        <v>18948.400000000001</v>
      </c>
      <c r="P33" s="190">
        <f t="shared" ref="P33:P75" si="4">O33</f>
        <v>18948.400000000001</v>
      </c>
      <c r="Q33" s="190">
        <f t="shared" si="3"/>
        <v>217859.19999999995</v>
      </c>
      <c r="R33" s="312"/>
    </row>
    <row r="34" spans="1:18" ht="35.1" customHeight="1" x14ac:dyDescent="0.25">
      <c r="A34" s="441"/>
      <c r="B34" s="438"/>
      <c r="C34" s="312"/>
      <c r="D34" s="21">
        <v>975</v>
      </c>
      <c r="E34" s="194" t="s">
        <v>352</v>
      </c>
      <c r="F34" s="194" t="s">
        <v>357</v>
      </c>
      <c r="G34" s="196">
        <v>612</v>
      </c>
      <c r="H34" s="190">
        <v>68.5</v>
      </c>
      <c r="I34" s="190"/>
      <c r="J34" s="190">
        <v>0</v>
      </c>
      <c r="K34" s="190"/>
      <c r="L34" s="190"/>
      <c r="M34" s="190"/>
      <c r="N34" s="191"/>
      <c r="O34" s="190"/>
      <c r="P34" s="190">
        <f t="shared" si="4"/>
        <v>0</v>
      </c>
      <c r="Q34" s="190">
        <f t="shared" si="3"/>
        <v>68.5</v>
      </c>
      <c r="R34" s="312"/>
    </row>
    <row r="35" spans="1:18" ht="35.1" customHeight="1" x14ac:dyDescent="0.25">
      <c r="A35" s="441"/>
      <c r="B35" s="438"/>
      <c r="C35" s="312"/>
      <c r="D35" s="21" t="s">
        <v>18</v>
      </c>
      <c r="E35" s="196" t="s">
        <v>352</v>
      </c>
      <c r="F35" s="194" t="s">
        <v>357</v>
      </c>
      <c r="G35" s="196">
        <v>621</v>
      </c>
      <c r="H35" s="190">
        <v>16861.8</v>
      </c>
      <c r="I35" s="190">
        <v>17529.8</v>
      </c>
      <c r="J35" s="190">
        <v>8899.2000000000007</v>
      </c>
      <c r="K35" s="190">
        <v>8641.4</v>
      </c>
      <c r="L35" s="190">
        <v>9217.1</v>
      </c>
      <c r="M35" s="190">
        <v>8849.7000000000007</v>
      </c>
      <c r="N35" s="191">
        <v>8791.2000000000007</v>
      </c>
      <c r="O35" s="190">
        <v>8791.2000000000007</v>
      </c>
      <c r="P35" s="190">
        <f t="shared" si="4"/>
        <v>8791.2000000000007</v>
      </c>
      <c r="Q35" s="190">
        <f t="shared" si="3"/>
        <v>96372.599999999991</v>
      </c>
      <c r="R35" s="312"/>
    </row>
    <row r="36" spans="1:18" ht="35.1" customHeight="1" x14ac:dyDescent="0.25">
      <c r="A36" s="441"/>
      <c r="B36" s="438"/>
      <c r="C36" s="312"/>
      <c r="D36" s="21">
        <v>975</v>
      </c>
      <c r="E36" s="194" t="s">
        <v>352</v>
      </c>
      <c r="F36" s="194" t="s">
        <v>357</v>
      </c>
      <c r="G36" s="196">
        <v>622</v>
      </c>
      <c r="H36" s="190">
        <v>150</v>
      </c>
      <c r="I36" s="190"/>
      <c r="J36" s="190"/>
      <c r="K36" s="190"/>
      <c r="L36" s="190"/>
      <c r="M36" s="190"/>
      <c r="N36" s="191"/>
      <c r="O36" s="190"/>
      <c r="P36" s="190">
        <f t="shared" si="4"/>
        <v>0</v>
      </c>
      <c r="Q36" s="190">
        <f t="shared" si="3"/>
        <v>150</v>
      </c>
      <c r="R36" s="312"/>
    </row>
    <row r="37" spans="1:18" ht="35.1" customHeight="1" x14ac:dyDescent="0.25">
      <c r="A37" s="441"/>
      <c r="B37" s="438"/>
      <c r="C37" s="312"/>
      <c r="D37" s="21">
        <v>975</v>
      </c>
      <c r="E37" s="194" t="s">
        <v>352</v>
      </c>
      <c r="F37" s="194" t="s">
        <v>357</v>
      </c>
      <c r="G37" s="196">
        <v>850</v>
      </c>
      <c r="H37" s="190">
        <v>26.5</v>
      </c>
      <c r="I37" s="190">
        <v>121.1</v>
      </c>
      <c r="J37" s="190">
        <v>14.2</v>
      </c>
      <c r="K37" s="190">
        <v>12.5</v>
      </c>
      <c r="L37" s="190">
        <v>136.1</v>
      </c>
      <c r="M37" s="190">
        <v>8.9</v>
      </c>
      <c r="N37" s="191">
        <v>0</v>
      </c>
      <c r="O37" s="190">
        <v>0</v>
      </c>
      <c r="P37" s="190">
        <v>0</v>
      </c>
      <c r="Q37" s="190">
        <f t="shared" si="3"/>
        <v>319.29999999999995</v>
      </c>
      <c r="R37" s="312"/>
    </row>
    <row r="38" spans="1:18" ht="35.1" customHeight="1" x14ac:dyDescent="0.25">
      <c r="A38" s="441"/>
      <c r="B38" s="438"/>
      <c r="C38" s="312"/>
      <c r="D38" s="21" t="s">
        <v>18</v>
      </c>
      <c r="E38" s="196" t="s">
        <v>352</v>
      </c>
      <c r="F38" s="194" t="s">
        <v>386</v>
      </c>
      <c r="G38" s="196">
        <v>110</v>
      </c>
      <c r="H38" s="190">
        <v>671.1</v>
      </c>
      <c r="I38" s="190">
        <v>882.4</v>
      </c>
      <c r="J38" s="190">
        <v>1697.2</v>
      </c>
      <c r="K38" s="190">
        <f>1447.3+437.1</f>
        <v>1884.4</v>
      </c>
      <c r="L38" s="190">
        <v>2298.1</v>
      </c>
      <c r="M38" s="190">
        <v>1906.9</v>
      </c>
      <c r="N38" s="191">
        <v>0</v>
      </c>
      <c r="O38" s="190">
        <v>0</v>
      </c>
      <c r="P38" s="190">
        <v>0</v>
      </c>
      <c r="Q38" s="190">
        <f t="shared" si="3"/>
        <v>9340.1</v>
      </c>
      <c r="R38" s="312"/>
    </row>
    <row r="39" spans="1:18" ht="35.1" customHeight="1" x14ac:dyDescent="0.25">
      <c r="A39" s="441"/>
      <c r="B39" s="438"/>
      <c r="C39" s="312"/>
      <c r="D39" s="21" t="s">
        <v>18</v>
      </c>
      <c r="E39" s="196" t="s">
        <v>352</v>
      </c>
      <c r="F39" s="194" t="s">
        <v>386</v>
      </c>
      <c r="G39" s="196">
        <v>611</v>
      </c>
      <c r="H39" s="190">
        <v>1841.5</v>
      </c>
      <c r="I39" s="190">
        <v>2844</v>
      </c>
      <c r="J39" s="190">
        <v>7162.7</v>
      </c>
      <c r="K39" s="190">
        <v>5652.6</v>
      </c>
      <c r="L39" s="190">
        <v>9203</v>
      </c>
      <c r="M39" s="190">
        <v>11017.4</v>
      </c>
      <c r="N39" s="191">
        <v>5179.3999999999996</v>
      </c>
      <c r="O39" s="190">
        <v>5179.3999999999996</v>
      </c>
      <c r="P39" s="190">
        <f t="shared" si="4"/>
        <v>5179.3999999999996</v>
      </c>
      <c r="Q39" s="190">
        <f t="shared" si="3"/>
        <v>53259.400000000009</v>
      </c>
      <c r="R39" s="312"/>
    </row>
    <row r="40" spans="1:18" ht="35.1" customHeight="1" x14ac:dyDescent="0.25">
      <c r="A40" s="441"/>
      <c r="B40" s="438"/>
      <c r="C40" s="312"/>
      <c r="D40" s="21">
        <v>975</v>
      </c>
      <c r="E40" s="194" t="s">
        <v>352</v>
      </c>
      <c r="F40" s="194" t="s">
        <v>386</v>
      </c>
      <c r="G40" s="196">
        <v>621</v>
      </c>
      <c r="H40" s="190"/>
      <c r="I40" s="190">
        <v>34.200000000000003</v>
      </c>
      <c r="J40" s="190">
        <v>65.400000000000006</v>
      </c>
      <c r="K40" s="190">
        <v>91.9</v>
      </c>
      <c r="L40" s="190">
        <v>172.8</v>
      </c>
      <c r="M40" s="190">
        <v>155.4</v>
      </c>
      <c r="N40" s="191">
        <v>155.4</v>
      </c>
      <c r="O40" s="190">
        <v>155.4</v>
      </c>
      <c r="P40" s="190">
        <f t="shared" si="4"/>
        <v>155.4</v>
      </c>
      <c r="Q40" s="190">
        <f t="shared" si="3"/>
        <v>985.9</v>
      </c>
      <c r="R40" s="312"/>
    </row>
    <row r="41" spans="1:18" ht="35.1" customHeight="1" x14ac:dyDescent="0.25">
      <c r="A41" s="441"/>
      <c r="B41" s="438"/>
      <c r="C41" s="312"/>
      <c r="D41" s="21" t="s">
        <v>18</v>
      </c>
      <c r="E41" s="196" t="s">
        <v>352</v>
      </c>
      <c r="F41" s="194" t="s">
        <v>387</v>
      </c>
      <c r="G41" s="196">
        <v>611</v>
      </c>
      <c r="H41" s="190">
        <v>946.6</v>
      </c>
      <c r="I41" s="190">
        <v>1533.9</v>
      </c>
      <c r="J41" s="190"/>
      <c r="K41" s="190"/>
      <c r="L41" s="190"/>
      <c r="M41" s="190"/>
      <c r="N41" s="191"/>
      <c r="O41" s="190"/>
      <c r="P41" s="190">
        <f t="shared" si="4"/>
        <v>0</v>
      </c>
      <c r="Q41" s="190">
        <f t="shared" si="3"/>
        <v>2480.5</v>
      </c>
      <c r="R41" s="312"/>
    </row>
    <row r="42" spans="1:18" ht="35.1" customHeight="1" x14ac:dyDescent="0.25">
      <c r="A42" s="441"/>
      <c r="B42" s="438"/>
      <c r="C42" s="312"/>
      <c r="D42" s="21" t="s">
        <v>18</v>
      </c>
      <c r="E42" s="196" t="s">
        <v>352</v>
      </c>
      <c r="F42" s="194" t="s">
        <v>388</v>
      </c>
      <c r="G42" s="196">
        <v>110</v>
      </c>
      <c r="H42" s="190">
        <v>17</v>
      </c>
      <c r="I42" s="190"/>
      <c r="J42" s="190"/>
      <c r="K42" s="190"/>
      <c r="L42" s="190"/>
      <c r="M42" s="190"/>
      <c r="N42" s="191"/>
      <c r="O42" s="190"/>
      <c r="P42" s="190">
        <f t="shared" si="4"/>
        <v>0</v>
      </c>
      <c r="Q42" s="190">
        <f t="shared" si="3"/>
        <v>17</v>
      </c>
      <c r="R42" s="312"/>
    </row>
    <row r="43" spans="1:18" ht="35.1" customHeight="1" x14ac:dyDescent="0.25">
      <c r="A43" s="441"/>
      <c r="B43" s="438"/>
      <c r="C43" s="312"/>
      <c r="D43" s="21" t="s">
        <v>18</v>
      </c>
      <c r="E43" s="196" t="s">
        <v>352</v>
      </c>
      <c r="F43" s="194" t="s">
        <v>388</v>
      </c>
      <c r="G43" s="196">
        <v>611</v>
      </c>
      <c r="H43" s="190">
        <v>20.7</v>
      </c>
      <c r="I43" s="190"/>
      <c r="J43" s="190"/>
      <c r="K43" s="190"/>
      <c r="L43" s="190"/>
      <c r="M43" s="190"/>
      <c r="N43" s="191"/>
      <c r="O43" s="190"/>
      <c r="P43" s="190">
        <f t="shared" si="4"/>
        <v>0</v>
      </c>
      <c r="Q43" s="190">
        <f t="shared" si="3"/>
        <v>20.7</v>
      </c>
      <c r="R43" s="312"/>
    </row>
    <row r="44" spans="1:18" ht="35.1" hidden="1" customHeight="1" x14ac:dyDescent="0.25">
      <c r="A44" s="441"/>
      <c r="B44" s="438"/>
      <c r="C44" s="312"/>
      <c r="D44" s="21" t="s">
        <v>18</v>
      </c>
      <c r="E44" s="196" t="s">
        <v>352</v>
      </c>
      <c r="F44" s="194" t="s">
        <v>388</v>
      </c>
      <c r="G44" s="196">
        <v>621</v>
      </c>
      <c r="H44" s="190">
        <v>0</v>
      </c>
      <c r="I44" s="190"/>
      <c r="J44" s="190"/>
      <c r="K44" s="190"/>
      <c r="L44" s="190"/>
      <c r="M44" s="190"/>
      <c r="N44" s="191"/>
      <c r="O44" s="190"/>
      <c r="P44" s="190">
        <f t="shared" si="4"/>
        <v>0</v>
      </c>
      <c r="Q44" s="190">
        <f t="shared" si="3"/>
        <v>0</v>
      </c>
      <c r="R44" s="312"/>
    </row>
    <row r="45" spans="1:18" ht="35.1" hidden="1" customHeight="1" x14ac:dyDescent="0.25">
      <c r="A45" s="441"/>
      <c r="B45" s="438"/>
      <c r="C45" s="312"/>
      <c r="D45" s="21">
        <v>975</v>
      </c>
      <c r="E45" s="194" t="s">
        <v>352</v>
      </c>
      <c r="F45" s="194" t="s">
        <v>389</v>
      </c>
      <c r="G45" s="196">
        <v>611</v>
      </c>
      <c r="H45" s="190"/>
      <c r="I45" s="190"/>
      <c r="J45" s="190">
        <v>0</v>
      </c>
      <c r="K45" s="190"/>
      <c r="L45" s="190"/>
      <c r="M45" s="190"/>
      <c r="N45" s="191"/>
      <c r="O45" s="190"/>
      <c r="P45" s="190">
        <f t="shared" si="4"/>
        <v>0</v>
      </c>
      <c r="Q45" s="190">
        <f t="shared" si="3"/>
        <v>0</v>
      </c>
      <c r="R45" s="312"/>
    </row>
    <row r="46" spans="1:18" ht="35.1" customHeight="1" x14ac:dyDescent="0.25">
      <c r="A46" s="441"/>
      <c r="B46" s="438"/>
      <c r="C46" s="312"/>
      <c r="D46" s="21">
        <v>975</v>
      </c>
      <c r="E46" s="194" t="s">
        <v>352</v>
      </c>
      <c r="F46" s="194" t="s">
        <v>390</v>
      </c>
      <c r="G46" s="196">
        <v>611</v>
      </c>
      <c r="H46" s="190"/>
      <c r="I46" s="190"/>
      <c r="J46" s="190">
        <v>69.8</v>
      </c>
      <c r="K46" s="190"/>
      <c r="L46" s="190"/>
      <c r="M46" s="190"/>
      <c r="N46" s="191"/>
      <c r="O46" s="190"/>
      <c r="P46" s="190">
        <f t="shared" si="4"/>
        <v>0</v>
      </c>
      <c r="Q46" s="190">
        <f t="shared" si="3"/>
        <v>69.8</v>
      </c>
      <c r="R46" s="312"/>
    </row>
    <row r="47" spans="1:18" ht="35.1" customHeight="1" x14ac:dyDescent="0.25">
      <c r="A47" s="441"/>
      <c r="B47" s="438"/>
      <c r="C47" s="312"/>
      <c r="D47" s="21">
        <v>975</v>
      </c>
      <c r="E47" s="194" t="s">
        <v>352</v>
      </c>
      <c r="F47" s="194" t="s">
        <v>391</v>
      </c>
      <c r="G47" s="196">
        <v>611</v>
      </c>
      <c r="H47" s="190">
        <v>50.1</v>
      </c>
      <c r="I47" s="190">
        <v>30</v>
      </c>
      <c r="J47" s="190"/>
      <c r="K47" s="190"/>
      <c r="L47" s="190"/>
      <c r="M47" s="190"/>
      <c r="N47" s="191"/>
      <c r="O47" s="190"/>
      <c r="P47" s="190">
        <f t="shared" si="4"/>
        <v>0</v>
      </c>
      <c r="Q47" s="190">
        <f t="shared" si="3"/>
        <v>80.099999999999994</v>
      </c>
      <c r="R47" s="312"/>
    </row>
    <row r="48" spans="1:18" ht="35.1" customHeight="1" x14ac:dyDescent="0.25">
      <c r="A48" s="441" t="s">
        <v>139</v>
      </c>
      <c r="B48" s="438" t="s">
        <v>392</v>
      </c>
      <c r="C48" s="312"/>
      <c r="D48" s="21">
        <v>975</v>
      </c>
      <c r="E48" s="194" t="s">
        <v>352</v>
      </c>
      <c r="F48" s="194" t="s">
        <v>393</v>
      </c>
      <c r="G48" s="196">
        <v>110</v>
      </c>
      <c r="H48" s="190">
        <v>2069.1</v>
      </c>
      <c r="I48" s="190">
        <v>2048.5</v>
      </c>
      <c r="J48" s="190">
        <v>2159.8000000000002</v>
      </c>
      <c r="K48" s="190">
        <f>1921.59+580.31</f>
        <v>2501.8999999999996</v>
      </c>
      <c r="L48" s="190">
        <v>2453.9</v>
      </c>
      <c r="M48" s="190">
        <v>1277.3</v>
      </c>
      <c r="N48" s="191">
        <v>2338.9</v>
      </c>
      <c r="O48" s="190">
        <v>2338.9</v>
      </c>
      <c r="P48" s="190">
        <f t="shared" si="4"/>
        <v>2338.9</v>
      </c>
      <c r="Q48" s="190">
        <f t="shared" si="3"/>
        <v>19527.2</v>
      </c>
      <c r="R48" s="312"/>
    </row>
    <row r="49" spans="1:18" ht="35.1" customHeight="1" x14ac:dyDescent="0.25">
      <c r="A49" s="441"/>
      <c r="B49" s="438"/>
      <c r="C49" s="312"/>
      <c r="D49" s="21">
        <v>975</v>
      </c>
      <c r="E49" s="194" t="s">
        <v>352</v>
      </c>
      <c r="F49" s="194" t="s">
        <v>393</v>
      </c>
      <c r="G49" s="196">
        <v>244</v>
      </c>
      <c r="H49" s="190">
        <v>48</v>
      </c>
      <c r="I49" s="190">
        <v>49.5</v>
      </c>
      <c r="J49" s="190">
        <v>152</v>
      </c>
      <c r="K49" s="190">
        <v>194.7</v>
      </c>
      <c r="L49" s="190">
        <v>150.69999999999999</v>
      </c>
      <c r="M49" s="190">
        <v>117.6</v>
      </c>
      <c r="N49" s="191">
        <v>184.9</v>
      </c>
      <c r="O49" s="190">
        <v>184.9</v>
      </c>
      <c r="P49" s="190">
        <f t="shared" si="4"/>
        <v>184.9</v>
      </c>
      <c r="Q49" s="190">
        <f t="shared" si="3"/>
        <v>1267.2</v>
      </c>
      <c r="R49" s="312"/>
    </row>
    <row r="50" spans="1:18" ht="35.1" customHeight="1" x14ac:dyDescent="0.25">
      <c r="A50" s="441"/>
      <c r="B50" s="438"/>
      <c r="C50" s="312"/>
      <c r="D50" s="21">
        <v>975</v>
      </c>
      <c r="E50" s="194" t="s">
        <v>352</v>
      </c>
      <c r="F50" s="194" t="s">
        <v>393</v>
      </c>
      <c r="G50" s="196">
        <v>611</v>
      </c>
      <c r="H50" s="190">
        <v>69419.8</v>
      </c>
      <c r="I50" s="190">
        <v>74727.600000000006</v>
      </c>
      <c r="J50" s="190">
        <v>75371.399999999994</v>
      </c>
      <c r="K50" s="190">
        <v>82441.7</v>
      </c>
      <c r="L50" s="190">
        <v>87113.3</v>
      </c>
      <c r="M50" s="190">
        <v>82287.8</v>
      </c>
      <c r="N50" s="191">
        <v>88666.7</v>
      </c>
      <c r="O50" s="190">
        <v>88666.7</v>
      </c>
      <c r="P50" s="190">
        <f t="shared" si="4"/>
        <v>88666.7</v>
      </c>
      <c r="Q50" s="190">
        <f t="shared" si="3"/>
        <v>737361.69999999984</v>
      </c>
      <c r="R50" s="312"/>
    </row>
    <row r="51" spans="1:18" ht="35.1" customHeight="1" x14ac:dyDescent="0.25">
      <c r="A51" s="441"/>
      <c r="B51" s="438"/>
      <c r="C51" s="312"/>
      <c r="D51" s="21">
        <v>975</v>
      </c>
      <c r="E51" s="194" t="s">
        <v>394</v>
      </c>
      <c r="F51" s="194" t="s">
        <v>393</v>
      </c>
      <c r="G51" s="196">
        <v>611</v>
      </c>
      <c r="H51" s="190"/>
      <c r="I51" s="190"/>
      <c r="J51" s="190"/>
      <c r="K51" s="190"/>
      <c r="L51" s="190"/>
      <c r="M51" s="190">
        <v>9127.2999999999993</v>
      </c>
      <c r="N51" s="191"/>
      <c r="O51" s="190"/>
      <c r="P51" s="190">
        <f t="shared" si="4"/>
        <v>0</v>
      </c>
      <c r="Q51" s="190">
        <f t="shared" si="3"/>
        <v>9127.2999999999993</v>
      </c>
      <c r="R51" s="312"/>
    </row>
    <row r="52" spans="1:18" ht="35.1" customHeight="1" x14ac:dyDescent="0.25">
      <c r="A52" s="441"/>
      <c r="B52" s="438"/>
      <c r="C52" s="312"/>
      <c r="D52" s="21">
        <v>975</v>
      </c>
      <c r="E52" s="194" t="s">
        <v>352</v>
      </c>
      <c r="F52" s="194" t="s">
        <v>393</v>
      </c>
      <c r="G52" s="196">
        <v>612</v>
      </c>
      <c r="H52" s="190">
        <v>1060.3</v>
      </c>
      <c r="I52" s="190">
        <v>685.7</v>
      </c>
      <c r="J52" s="190">
        <v>3330.5</v>
      </c>
      <c r="K52" s="190">
        <v>4576</v>
      </c>
      <c r="L52" s="190">
        <v>4798.1000000000004</v>
      </c>
      <c r="M52" s="190">
        <v>4598.3999999999996</v>
      </c>
      <c r="N52" s="191">
        <v>3742</v>
      </c>
      <c r="O52" s="190">
        <v>3742</v>
      </c>
      <c r="P52" s="190">
        <f t="shared" si="4"/>
        <v>3742</v>
      </c>
      <c r="Q52" s="190">
        <f t="shared" si="3"/>
        <v>30275</v>
      </c>
      <c r="R52" s="312"/>
    </row>
    <row r="53" spans="1:18" ht="35.1" customHeight="1" x14ac:dyDescent="0.25">
      <c r="A53" s="441"/>
      <c r="B53" s="438"/>
      <c r="C53" s="312"/>
      <c r="D53" s="21">
        <v>975</v>
      </c>
      <c r="E53" s="194" t="s">
        <v>352</v>
      </c>
      <c r="F53" s="194" t="s">
        <v>393</v>
      </c>
      <c r="G53" s="196">
        <v>621</v>
      </c>
      <c r="H53" s="190">
        <v>28912.7</v>
      </c>
      <c r="I53" s="190">
        <v>29234.2</v>
      </c>
      <c r="J53" s="190">
        <v>29412</v>
      </c>
      <c r="K53" s="190">
        <v>31346.1</v>
      </c>
      <c r="L53" s="190">
        <v>32415.7</v>
      </c>
      <c r="M53" s="190">
        <v>28812.6</v>
      </c>
      <c r="N53" s="191">
        <v>32209.7</v>
      </c>
      <c r="O53" s="190">
        <v>32209.7</v>
      </c>
      <c r="P53" s="190">
        <f t="shared" si="4"/>
        <v>32209.7</v>
      </c>
      <c r="Q53" s="190">
        <f t="shared" si="3"/>
        <v>276762.40000000002</v>
      </c>
      <c r="R53" s="312"/>
    </row>
    <row r="54" spans="1:18" ht="35.1" customHeight="1" x14ac:dyDescent="0.25">
      <c r="A54" s="441"/>
      <c r="B54" s="438"/>
      <c r="C54" s="312"/>
      <c r="D54" s="21">
        <v>975</v>
      </c>
      <c r="E54" s="194" t="s">
        <v>394</v>
      </c>
      <c r="F54" s="194" t="s">
        <v>393</v>
      </c>
      <c r="G54" s="196">
        <v>621</v>
      </c>
      <c r="H54" s="190"/>
      <c r="I54" s="190"/>
      <c r="J54" s="190"/>
      <c r="K54" s="190"/>
      <c r="L54" s="190"/>
      <c r="M54" s="190">
        <v>4245</v>
      </c>
      <c r="N54" s="191"/>
      <c r="O54" s="190"/>
      <c r="P54" s="190">
        <f t="shared" si="4"/>
        <v>0</v>
      </c>
      <c r="Q54" s="190">
        <f t="shared" si="3"/>
        <v>4245</v>
      </c>
      <c r="R54" s="312"/>
    </row>
    <row r="55" spans="1:18" ht="35.1" customHeight="1" x14ac:dyDescent="0.25">
      <c r="A55" s="441"/>
      <c r="B55" s="438"/>
      <c r="C55" s="312"/>
      <c r="D55" s="21">
        <v>975</v>
      </c>
      <c r="E55" s="194" t="s">
        <v>352</v>
      </c>
      <c r="F55" s="194" t="s">
        <v>393</v>
      </c>
      <c r="G55" s="196">
        <v>622</v>
      </c>
      <c r="H55" s="190">
        <v>348.3</v>
      </c>
      <c r="I55" s="190">
        <v>360.9</v>
      </c>
      <c r="J55" s="190">
        <v>1248.9000000000001</v>
      </c>
      <c r="K55" s="190">
        <v>1661.6</v>
      </c>
      <c r="L55" s="190">
        <v>1917.9</v>
      </c>
      <c r="M55" s="190">
        <v>1604.6</v>
      </c>
      <c r="N55" s="191">
        <v>1318.9</v>
      </c>
      <c r="O55" s="190">
        <v>1318.9</v>
      </c>
      <c r="P55" s="190">
        <f t="shared" si="4"/>
        <v>1318.9</v>
      </c>
      <c r="Q55" s="190">
        <f t="shared" si="3"/>
        <v>11098.9</v>
      </c>
      <c r="R55" s="312"/>
    </row>
    <row r="56" spans="1:18" ht="35.1" customHeight="1" x14ac:dyDescent="0.25">
      <c r="A56" s="441"/>
      <c r="B56" s="438"/>
      <c r="C56" s="312"/>
      <c r="D56" s="21">
        <v>975</v>
      </c>
      <c r="E56" s="194" t="s">
        <v>352</v>
      </c>
      <c r="F56" s="194" t="s">
        <v>393</v>
      </c>
      <c r="G56" s="196">
        <v>870</v>
      </c>
      <c r="H56" s="190"/>
      <c r="I56" s="190"/>
      <c r="J56" s="190"/>
      <c r="K56" s="190">
        <v>1355.7</v>
      </c>
      <c r="L56" s="190"/>
      <c r="M56" s="190"/>
      <c r="N56" s="191"/>
      <c r="O56" s="190"/>
      <c r="P56" s="190">
        <f t="shared" si="4"/>
        <v>0</v>
      </c>
      <c r="Q56" s="190">
        <f t="shared" si="3"/>
        <v>1355.7</v>
      </c>
      <c r="R56" s="312"/>
    </row>
    <row r="57" spans="1:18" ht="35.1" customHeight="1" x14ac:dyDescent="0.25">
      <c r="A57" s="441"/>
      <c r="B57" s="438"/>
      <c r="C57" s="312"/>
      <c r="D57" s="21">
        <v>975</v>
      </c>
      <c r="E57" s="194" t="s">
        <v>352</v>
      </c>
      <c r="F57" s="194" t="s">
        <v>395</v>
      </c>
      <c r="G57" s="196">
        <v>110</v>
      </c>
      <c r="H57" s="190">
        <v>19.7</v>
      </c>
      <c r="I57" s="190"/>
      <c r="J57" s="190"/>
      <c r="K57" s="190"/>
      <c r="L57" s="190"/>
      <c r="M57" s="190"/>
      <c r="N57" s="191"/>
      <c r="O57" s="190"/>
      <c r="P57" s="190">
        <f t="shared" si="4"/>
        <v>0</v>
      </c>
      <c r="Q57" s="190">
        <f t="shared" si="3"/>
        <v>19.7</v>
      </c>
      <c r="R57" s="312"/>
    </row>
    <row r="58" spans="1:18" ht="35.1" customHeight="1" x14ac:dyDescent="0.25">
      <c r="A58" s="441"/>
      <c r="B58" s="438"/>
      <c r="C58" s="312"/>
      <c r="D58" s="21">
        <v>975</v>
      </c>
      <c r="E58" s="194" t="s">
        <v>352</v>
      </c>
      <c r="F58" s="194" t="s">
        <v>396</v>
      </c>
      <c r="G58" s="196">
        <v>110</v>
      </c>
      <c r="H58" s="190"/>
      <c r="I58" s="190"/>
      <c r="J58" s="190">
        <v>911.7</v>
      </c>
      <c r="K58" s="190">
        <v>908.9</v>
      </c>
      <c r="L58" s="190">
        <f>724.5+218.8</f>
        <v>943.3</v>
      </c>
      <c r="M58" s="190">
        <v>456.8</v>
      </c>
      <c r="N58" s="191">
        <v>774.9</v>
      </c>
      <c r="O58" s="190">
        <v>774.9</v>
      </c>
      <c r="P58" s="190">
        <f t="shared" si="4"/>
        <v>774.9</v>
      </c>
      <c r="Q58" s="190">
        <f t="shared" si="3"/>
        <v>5545.4</v>
      </c>
      <c r="R58" s="312"/>
    </row>
    <row r="59" spans="1:18" ht="35.1" customHeight="1" x14ac:dyDescent="0.25">
      <c r="A59" s="441"/>
      <c r="B59" s="438"/>
      <c r="C59" s="312"/>
      <c r="D59" s="21">
        <v>975</v>
      </c>
      <c r="E59" s="194" t="s">
        <v>352</v>
      </c>
      <c r="F59" s="194" t="s">
        <v>396</v>
      </c>
      <c r="G59" s="196">
        <v>240</v>
      </c>
      <c r="H59" s="190"/>
      <c r="I59" s="190"/>
      <c r="J59" s="190">
        <v>17.5</v>
      </c>
      <c r="K59" s="190">
        <v>20.2</v>
      </c>
      <c r="L59" s="190">
        <v>20.2</v>
      </c>
      <c r="M59" s="190">
        <v>13.9</v>
      </c>
      <c r="N59" s="191">
        <v>20.3</v>
      </c>
      <c r="O59" s="190">
        <v>20.3</v>
      </c>
      <c r="P59" s="190">
        <f t="shared" si="4"/>
        <v>20.3</v>
      </c>
      <c r="Q59" s="190">
        <f t="shared" si="3"/>
        <v>132.70000000000002</v>
      </c>
      <c r="R59" s="312"/>
    </row>
    <row r="60" spans="1:18" ht="35.1" customHeight="1" x14ac:dyDescent="0.25">
      <c r="A60" s="441"/>
      <c r="B60" s="438"/>
      <c r="C60" s="312"/>
      <c r="D60" s="21">
        <v>975</v>
      </c>
      <c r="E60" s="194" t="s">
        <v>352</v>
      </c>
      <c r="F60" s="194" t="s">
        <v>396</v>
      </c>
      <c r="G60" s="196">
        <v>611</v>
      </c>
      <c r="H60" s="190"/>
      <c r="I60" s="190"/>
      <c r="J60" s="190">
        <v>19514.400000000001</v>
      </c>
      <c r="K60" s="190">
        <v>19413.400000000001</v>
      </c>
      <c r="L60" s="190">
        <v>20229.8</v>
      </c>
      <c r="M60" s="190">
        <v>22376.400000000001</v>
      </c>
      <c r="N60" s="191">
        <v>21852.5</v>
      </c>
      <c r="O60" s="190">
        <v>21852.5</v>
      </c>
      <c r="P60" s="190">
        <f t="shared" si="4"/>
        <v>21852.5</v>
      </c>
      <c r="Q60" s="190">
        <f t="shared" si="3"/>
        <v>147091.5</v>
      </c>
      <c r="R60" s="312"/>
    </row>
    <row r="61" spans="1:18" ht="35.1" customHeight="1" x14ac:dyDescent="0.25">
      <c r="A61" s="441"/>
      <c r="B61" s="438"/>
      <c r="C61" s="312"/>
      <c r="D61" s="21">
        <v>975</v>
      </c>
      <c r="E61" s="194" t="s">
        <v>352</v>
      </c>
      <c r="F61" s="194" t="s">
        <v>396</v>
      </c>
      <c r="G61" s="196">
        <v>612</v>
      </c>
      <c r="H61" s="190"/>
      <c r="I61" s="190"/>
      <c r="J61" s="190"/>
      <c r="K61" s="190">
        <v>119</v>
      </c>
      <c r="L61" s="190">
        <v>113</v>
      </c>
      <c r="M61" s="190">
        <v>118</v>
      </c>
      <c r="N61" s="191">
        <v>118</v>
      </c>
      <c r="O61" s="190">
        <v>118</v>
      </c>
      <c r="P61" s="190">
        <f t="shared" si="4"/>
        <v>118</v>
      </c>
      <c r="Q61" s="190">
        <f t="shared" si="3"/>
        <v>704</v>
      </c>
      <c r="R61" s="312"/>
    </row>
    <row r="62" spans="1:18" ht="35.1" customHeight="1" x14ac:dyDescent="0.25">
      <c r="A62" s="441"/>
      <c r="B62" s="438"/>
      <c r="C62" s="312"/>
      <c r="D62" s="21">
        <v>975</v>
      </c>
      <c r="E62" s="194" t="s">
        <v>352</v>
      </c>
      <c r="F62" s="194" t="s">
        <v>396</v>
      </c>
      <c r="G62" s="196">
        <v>621</v>
      </c>
      <c r="H62" s="190"/>
      <c r="I62" s="190"/>
      <c r="J62" s="190">
        <v>9019.2000000000007</v>
      </c>
      <c r="K62" s="190">
        <v>9035.1</v>
      </c>
      <c r="L62" s="190">
        <v>9369.2999999999993</v>
      </c>
      <c r="M62" s="190">
        <v>7819.4</v>
      </c>
      <c r="N62" s="191">
        <v>7819.4</v>
      </c>
      <c r="O62" s="190">
        <v>7819.4</v>
      </c>
      <c r="P62" s="190">
        <f t="shared" si="4"/>
        <v>7819.4</v>
      </c>
      <c r="Q62" s="190">
        <f t="shared" si="3"/>
        <v>58701.200000000004</v>
      </c>
      <c r="R62" s="312"/>
    </row>
    <row r="63" spans="1:18" ht="35.1" customHeight="1" x14ac:dyDescent="0.25">
      <c r="A63" s="441"/>
      <c r="B63" s="438"/>
      <c r="C63" s="312"/>
      <c r="D63" s="21">
        <v>975</v>
      </c>
      <c r="E63" s="194" t="s">
        <v>352</v>
      </c>
      <c r="F63" s="194" t="s">
        <v>397</v>
      </c>
      <c r="G63" s="196">
        <v>621</v>
      </c>
      <c r="H63" s="190"/>
      <c r="I63" s="190"/>
      <c r="J63" s="190"/>
      <c r="K63" s="190"/>
      <c r="L63" s="190">
        <v>162.80000000000001</v>
      </c>
      <c r="M63" s="190"/>
      <c r="N63" s="191"/>
      <c r="O63" s="190"/>
      <c r="P63" s="190">
        <f t="shared" si="4"/>
        <v>0</v>
      </c>
      <c r="Q63" s="190">
        <f t="shared" si="3"/>
        <v>162.80000000000001</v>
      </c>
      <c r="R63" s="312"/>
    </row>
    <row r="64" spans="1:18" ht="35.1" customHeight="1" x14ac:dyDescent="0.25">
      <c r="A64" s="441"/>
      <c r="B64" s="438"/>
      <c r="C64" s="312"/>
      <c r="D64" s="21">
        <v>975</v>
      </c>
      <c r="E64" s="194" t="s">
        <v>352</v>
      </c>
      <c r="F64" s="194" t="s">
        <v>398</v>
      </c>
      <c r="G64" s="196">
        <v>611</v>
      </c>
      <c r="H64" s="190"/>
      <c r="I64" s="190"/>
      <c r="J64" s="190"/>
      <c r="K64" s="190"/>
      <c r="L64" s="190">
        <v>329.3</v>
      </c>
      <c r="M64" s="190"/>
      <c r="N64" s="191"/>
      <c r="O64" s="190"/>
      <c r="P64" s="190">
        <f t="shared" si="4"/>
        <v>0</v>
      </c>
      <c r="Q64" s="190">
        <f t="shared" si="3"/>
        <v>329.3</v>
      </c>
      <c r="R64" s="312"/>
    </row>
    <row r="65" spans="1:21" ht="35.1" customHeight="1" x14ac:dyDescent="0.25">
      <c r="A65" s="441"/>
      <c r="B65" s="438"/>
      <c r="C65" s="312"/>
      <c r="D65" s="21">
        <v>975</v>
      </c>
      <c r="E65" s="194" t="s">
        <v>352</v>
      </c>
      <c r="F65" s="194" t="s">
        <v>399</v>
      </c>
      <c r="G65" s="196">
        <v>110</v>
      </c>
      <c r="H65" s="190"/>
      <c r="I65" s="190"/>
      <c r="J65" s="190"/>
      <c r="K65" s="190"/>
      <c r="L65" s="190">
        <v>460.4</v>
      </c>
      <c r="M65" s="190"/>
      <c r="N65" s="191"/>
      <c r="O65" s="190"/>
      <c r="P65" s="190">
        <f t="shared" si="4"/>
        <v>0</v>
      </c>
      <c r="Q65" s="190">
        <f t="shared" si="3"/>
        <v>460.4</v>
      </c>
      <c r="R65" s="312"/>
    </row>
    <row r="66" spans="1:21" ht="35.1" customHeight="1" x14ac:dyDescent="0.25">
      <c r="A66" s="441"/>
      <c r="B66" s="438"/>
      <c r="C66" s="312"/>
      <c r="D66" s="21">
        <v>975</v>
      </c>
      <c r="E66" s="194" t="s">
        <v>352</v>
      </c>
      <c r="F66" s="194" t="s">
        <v>396</v>
      </c>
      <c r="G66" s="196">
        <v>870</v>
      </c>
      <c r="H66" s="190"/>
      <c r="I66" s="190"/>
      <c r="J66" s="190"/>
      <c r="K66" s="190"/>
      <c r="L66" s="190"/>
      <c r="M66" s="190"/>
      <c r="N66" s="191"/>
      <c r="O66" s="190"/>
      <c r="P66" s="190">
        <f t="shared" si="4"/>
        <v>0</v>
      </c>
      <c r="Q66" s="190">
        <f t="shared" si="3"/>
        <v>0</v>
      </c>
      <c r="R66" s="312"/>
    </row>
    <row r="67" spans="1:21" ht="35.1" customHeight="1" x14ac:dyDescent="0.25">
      <c r="A67" s="441"/>
      <c r="B67" s="438"/>
      <c r="C67" s="312"/>
      <c r="D67" s="21">
        <v>975</v>
      </c>
      <c r="E67" s="194" t="s">
        <v>352</v>
      </c>
      <c r="F67" s="194" t="s">
        <v>395</v>
      </c>
      <c r="G67" s="196">
        <v>611</v>
      </c>
      <c r="H67" s="190">
        <v>77</v>
      </c>
      <c r="I67" s="190"/>
      <c r="J67" s="190"/>
      <c r="K67" s="190"/>
      <c r="L67" s="190"/>
      <c r="M67" s="190"/>
      <c r="N67" s="191"/>
      <c r="O67" s="190"/>
      <c r="P67" s="190">
        <f t="shared" si="4"/>
        <v>0</v>
      </c>
      <c r="Q67" s="190">
        <f t="shared" si="3"/>
        <v>77</v>
      </c>
      <c r="R67" s="312"/>
    </row>
    <row r="68" spans="1:21" ht="69.75" customHeight="1" x14ac:dyDescent="0.25">
      <c r="A68" s="203" t="s">
        <v>141</v>
      </c>
      <c r="B68" s="195" t="s">
        <v>400</v>
      </c>
      <c r="C68" s="21" t="s">
        <v>17</v>
      </c>
      <c r="D68" s="194" t="s">
        <v>18</v>
      </c>
      <c r="E68" s="194" t="s">
        <v>352</v>
      </c>
      <c r="F68" s="21" t="s">
        <v>15</v>
      </c>
      <c r="G68" s="21" t="s">
        <v>15</v>
      </c>
      <c r="H68" s="48">
        <v>777.6</v>
      </c>
      <c r="I68" s="48">
        <v>532.1</v>
      </c>
      <c r="J68" s="48">
        <v>1013.8</v>
      </c>
      <c r="K68" s="48">
        <v>1013.8</v>
      </c>
      <c r="L68" s="48">
        <f>201+878</f>
        <v>1079</v>
      </c>
      <c r="M68" s="48">
        <v>1500.5</v>
      </c>
      <c r="N68" s="201">
        <v>1500.5</v>
      </c>
      <c r="O68" s="48">
        <v>1500.5</v>
      </c>
      <c r="P68" s="190">
        <f t="shared" si="4"/>
        <v>1500.5</v>
      </c>
      <c r="Q68" s="190">
        <f t="shared" si="3"/>
        <v>10418.299999999999</v>
      </c>
      <c r="R68" s="312"/>
    </row>
    <row r="69" spans="1:21" ht="75" hidden="1" customHeight="1" x14ac:dyDescent="0.25">
      <c r="A69" s="204" t="s">
        <v>139</v>
      </c>
      <c r="B69" s="205" t="s">
        <v>401</v>
      </c>
      <c r="C69" s="205" t="s">
        <v>17</v>
      </c>
      <c r="D69" s="206" t="s">
        <v>18</v>
      </c>
      <c r="E69" s="206" t="s">
        <v>352</v>
      </c>
      <c r="F69" s="206" t="s">
        <v>15</v>
      </c>
      <c r="G69" s="205" t="s">
        <v>15</v>
      </c>
      <c r="H69" s="207">
        <v>0</v>
      </c>
      <c r="I69" s="207">
        <v>0</v>
      </c>
      <c r="J69" s="207">
        <v>0</v>
      </c>
      <c r="K69" s="207"/>
      <c r="L69" s="207"/>
      <c r="M69" s="207"/>
      <c r="N69" s="208"/>
      <c r="O69" s="207"/>
      <c r="P69" s="190">
        <f t="shared" si="4"/>
        <v>0</v>
      </c>
      <c r="Q69" s="190">
        <f t="shared" si="3"/>
        <v>0</v>
      </c>
      <c r="R69" s="21" t="s">
        <v>402</v>
      </c>
      <c r="S69" s="35">
        <v>2</v>
      </c>
    </row>
    <row r="70" spans="1:21" ht="134.25" hidden="1" customHeight="1" x14ac:dyDescent="0.25">
      <c r="A70" s="204" t="s">
        <v>141</v>
      </c>
      <c r="B70" s="195" t="s">
        <v>403</v>
      </c>
      <c r="C70" s="21" t="s">
        <v>17</v>
      </c>
      <c r="D70" s="204" t="s">
        <v>18</v>
      </c>
      <c r="E70" s="204" t="s">
        <v>404</v>
      </c>
      <c r="F70" s="204" t="s">
        <v>15</v>
      </c>
      <c r="G70" s="21" t="s">
        <v>15</v>
      </c>
      <c r="H70" s="48">
        <v>0</v>
      </c>
      <c r="I70" s="48">
        <v>0</v>
      </c>
      <c r="J70" s="48">
        <v>0</v>
      </c>
      <c r="K70" s="48"/>
      <c r="L70" s="48"/>
      <c r="M70" s="48"/>
      <c r="N70" s="201"/>
      <c r="O70" s="48"/>
      <c r="P70" s="190">
        <f t="shared" si="4"/>
        <v>0</v>
      </c>
      <c r="Q70" s="190">
        <f t="shared" si="3"/>
        <v>0</v>
      </c>
      <c r="R70" s="21" t="s">
        <v>405</v>
      </c>
    </row>
    <row r="71" spans="1:21" ht="72.75" hidden="1" customHeight="1" x14ac:dyDescent="0.25">
      <c r="A71" s="204" t="s">
        <v>143</v>
      </c>
      <c r="B71" s="21" t="s">
        <v>406</v>
      </c>
      <c r="C71" s="21" t="s">
        <v>17</v>
      </c>
      <c r="D71" s="204" t="s">
        <v>18</v>
      </c>
      <c r="E71" s="204" t="s">
        <v>404</v>
      </c>
      <c r="F71" s="204" t="s">
        <v>15</v>
      </c>
      <c r="G71" s="21" t="s">
        <v>15</v>
      </c>
      <c r="H71" s="48">
        <v>0</v>
      </c>
      <c r="I71" s="48">
        <v>0</v>
      </c>
      <c r="J71" s="48">
        <v>0</v>
      </c>
      <c r="K71" s="207"/>
      <c r="L71" s="207"/>
      <c r="M71" s="207"/>
      <c r="N71" s="208"/>
      <c r="O71" s="207"/>
      <c r="P71" s="190">
        <f t="shared" si="4"/>
        <v>0</v>
      </c>
      <c r="Q71" s="190">
        <f t="shared" si="3"/>
        <v>0</v>
      </c>
      <c r="R71" s="209" t="s">
        <v>407</v>
      </c>
    </row>
    <row r="72" spans="1:21" ht="78" hidden="1" customHeight="1" x14ac:dyDescent="0.25">
      <c r="A72" s="210"/>
      <c r="B72" s="21" t="s">
        <v>408</v>
      </c>
      <c r="C72" s="21" t="s">
        <v>17</v>
      </c>
      <c r="D72" s="204"/>
      <c r="E72" s="204"/>
      <c r="F72" s="204"/>
      <c r="G72" s="21" t="s">
        <v>15</v>
      </c>
      <c r="H72" s="190"/>
      <c r="I72" s="190"/>
      <c r="J72" s="48"/>
      <c r="K72" s="48"/>
      <c r="L72" s="48"/>
      <c r="M72" s="48"/>
      <c r="N72" s="201"/>
      <c r="O72" s="48"/>
      <c r="P72" s="190">
        <f t="shared" si="4"/>
        <v>0</v>
      </c>
      <c r="Q72" s="190">
        <f t="shared" si="3"/>
        <v>0</v>
      </c>
      <c r="R72" s="21" t="s">
        <v>409</v>
      </c>
      <c r="S72" s="211" t="s">
        <v>410</v>
      </c>
      <c r="T72" s="212" t="s">
        <v>411</v>
      </c>
      <c r="U72" s="213" t="s">
        <v>412</v>
      </c>
    </row>
    <row r="73" spans="1:21" ht="86.25" hidden="1" customHeight="1" x14ac:dyDescent="0.25">
      <c r="A73" s="210" t="s">
        <v>145</v>
      </c>
      <c r="B73" s="21" t="s">
        <v>413</v>
      </c>
      <c r="C73" s="21" t="s">
        <v>414</v>
      </c>
      <c r="D73" s="204" t="s">
        <v>18</v>
      </c>
      <c r="E73" s="204" t="s">
        <v>352</v>
      </c>
      <c r="F73" s="204" t="s">
        <v>415</v>
      </c>
      <c r="G73" s="21">
        <v>244</v>
      </c>
      <c r="H73" s="190"/>
      <c r="I73" s="190"/>
      <c r="J73" s="48"/>
      <c r="K73" s="48"/>
      <c r="L73" s="48"/>
      <c r="M73" s="48"/>
      <c r="N73" s="201"/>
      <c r="O73" s="48"/>
      <c r="P73" s="190">
        <f t="shared" si="4"/>
        <v>0</v>
      </c>
      <c r="Q73" s="190">
        <f t="shared" si="3"/>
        <v>0</v>
      </c>
      <c r="R73" s="21" t="s">
        <v>416</v>
      </c>
      <c r="S73" s="214"/>
      <c r="T73" s="212"/>
      <c r="U73" s="213"/>
    </row>
    <row r="74" spans="1:21" ht="70.5" hidden="1" customHeight="1" x14ac:dyDescent="0.25">
      <c r="A74" s="210" t="s">
        <v>147</v>
      </c>
      <c r="B74" s="21" t="s">
        <v>417</v>
      </c>
      <c r="C74" s="21" t="s">
        <v>414</v>
      </c>
      <c r="D74" s="204" t="s">
        <v>18</v>
      </c>
      <c r="E74" s="204" t="s">
        <v>352</v>
      </c>
      <c r="F74" s="204" t="s">
        <v>15</v>
      </c>
      <c r="G74" s="21" t="s">
        <v>15</v>
      </c>
      <c r="H74" s="190">
        <v>0</v>
      </c>
      <c r="I74" s="190">
        <v>0</v>
      </c>
      <c r="J74" s="190">
        <v>0</v>
      </c>
      <c r="K74" s="190"/>
      <c r="L74" s="190"/>
      <c r="M74" s="190"/>
      <c r="N74" s="191"/>
      <c r="O74" s="190"/>
      <c r="P74" s="190">
        <f t="shared" si="4"/>
        <v>0</v>
      </c>
      <c r="Q74" s="190">
        <f t="shared" si="3"/>
        <v>0</v>
      </c>
      <c r="R74" s="21" t="s">
        <v>418</v>
      </c>
      <c r="S74" s="214"/>
      <c r="T74" s="212"/>
      <c r="U74" s="213"/>
    </row>
    <row r="75" spans="1:21" ht="21" customHeight="1" x14ac:dyDescent="0.25">
      <c r="A75" s="436" t="s">
        <v>419</v>
      </c>
      <c r="B75" s="436"/>
      <c r="C75" s="215"/>
      <c r="D75" s="215"/>
      <c r="E75" s="215"/>
      <c r="F75" s="215"/>
      <c r="G75" s="215"/>
      <c r="H75" s="48">
        <f t="shared" ref="H75:O75" si="5">SUM(H31:H74)</f>
        <v>179920.50000000003</v>
      </c>
      <c r="I75" s="48">
        <f t="shared" si="5"/>
        <v>191066.30000000002</v>
      </c>
      <c r="J75" s="48">
        <f t="shared" si="5"/>
        <v>202246.1</v>
      </c>
      <c r="K75" s="48">
        <f t="shared" si="5"/>
        <v>210858.7</v>
      </c>
      <c r="L75" s="48">
        <f t="shared" si="5"/>
        <v>222793.49999999997</v>
      </c>
      <c r="M75" s="48">
        <f t="shared" si="5"/>
        <v>218253.09999999998</v>
      </c>
      <c r="N75" s="201">
        <f t="shared" si="5"/>
        <v>193621.09999999998</v>
      </c>
      <c r="O75" s="48">
        <f t="shared" si="5"/>
        <v>193621.09999999998</v>
      </c>
      <c r="P75" s="190">
        <f t="shared" si="4"/>
        <v>193621.09999999998</v>
      </c>
      <c r="Q75" s="190">
        <f t="shared" si="3"/>
        <v>1806001.5000000005</v>
      </c>
      <c r="R75" s="202"/>
    </row>
    <row r="76" spans="1:21" ht="27.75" customHeight="1" x14ac:dyDescent="0.25">
      <c r="A76" s="216" t="s">
        <v>342</v>
      </c>
      <c r="B76" s="216"/>
      <c r="C76" s="216"/>
      <c r="D76" s="216"/>
      <c r="E76" s="216"/>
      <c r="F76" s="216"/>
      <c r="G76" s="216"/>
      <c r="H76" s="217"/>
      <c r="I76" s="217"/>
      <c r="J76" s="217"/>
      <c r="K76" s="217"/>
      <c r="L76" s="217"/>
      <c r="M76" s="217"/>
      <c r="N76" s="218"/>
      <c r="O76" s="217"/>
      <c r="P76" s="217"/>
      <c r="Q76" s="217"/>
      <c r="R76" s="216"/>
    </row>
    <row r="77" spans="1:21" ht="35.1" customHeight="1" x14ac:dyDescent="0.25">
      <c r="A77" s="437" t="s">
        <v>420</v>
      </c>
      <c r="B77" s="438" t="s">
        <v>421</v>
      </c>
      <c r="C77" s="305" t="s">
        <v>17</v>
      </c>
      <c r="D77" s="204" t="s">
        <v>18</v>
      </c>
      <c r="E77" s="204" t="s">
        <v>394</v>
      </c>
      <c r="F77" s="219" t="s">
        <v>422</v>
      </c>
      <c r="G77" s="216">
        <v>611</v>
      </c>
      <c r="H77" s="48">
        <v>23037.9</v>
      </c>
      <c r="I77" s="48">
        <v>23911.599999999999</v>
      </c>
      <c r="J77" s="48">
        <v>22936.7</v>
      </c>
      <c r="K77" s="48">
        <v>22825.4</v>
      </c>
      <c r="L77" s="48">
        <v>23271.9</v>
      </c>
      <c r="M77" s="48">
        <v>23433.1</v>
      </c>
      <c r="N77" s="201">
        <v>23042.400000000001</v>
      </c>
      <c r="O77" s="48">
        <v>23042.400000000001</v>
      </c>
      <c r="P77" s="48">
        <f>O77</f>
        <v>23042.400000000001</v>
      </c>
      <c r="Q77" s="190">
        <f>SUM(H77:P77)</f>
        <v>208543.8</v>
      </c>
      <c r="R77" s="312" t="s">
        <v>423</v>
      </c>
    </row>
    <row r="78" spans="1:21" ht="35.1" customHeight="1" x14ac:dyDescent="0.25">
      <c r="A78" s="437"/>
      <c r="B78" s="438"/>
      <c r="C78" s="305"/>
      <c r="D78" s="204" t="s">
        <v>18</v>
      </c>
      <c r="E78" s="204" t="s">
        <v>394</v>
      </c>
      <c r="F78" s="219" t="s">
        <v>422</v>
      </c>
      <c r="G78" s="216">
        <v>612</v>
      </c>
      <c r="H78" s="48">
        <v>228.9</v>
      </c>
      <c r="I78" s="48">
        <v>1514.5</v>
      </c>
      <c r="J78" s="48">
        <f>13390.2-J87-J90</f>
        <v>13254.2</v>
      </c>
      <c r="K78" s="48">
        <v>6851.9</v>
      </c>
      <c r="L78" s="48">
        <v>120</v>
      </c>
      <c r="M78" s="48">
        <v>14.5</v>
      </c>
      <c r="N78" s="201"/>
      <c r="O78" s="48"/>
      <c r="P78" s="48">
        <f t="shared" ref="P78:P100" si="6">O78</f>
        <v>0</v>
      </c>
      <c r="Q78" s="190">
        <f t="shared" ref="Q78:Q100" si="7">SUM(H78:P78)</f>
        <v>21984</v>
      </c>
      <c r="R78" s="312"/>
    </row>
    <row r="79" spans="1:21" ht="35.1" customHeight="1" x14ac:dyDescent="0.25">
      <c r="A79" s="437"/>
      <c r="B79" s="438"/>
      <c r="C79" s="305"/>
      <c r="D79" s="204" t="s">
        <v>18</v>
      </c>
      <c r="E79" s="204" t="s">
        <v>394</v>
      </c>
      <c r="F79" s="219" t="s">
        <v>386</v>
      </c>
      <c r="G79" s="216">
        <v>611</v>
      </c>
      <c r="H79" s="48"/>
      <c r="I79" s="48"/>
      <c r="J79" s="48"/>
      <c r="K79" s="48">
        <v>2950.8</v>
      </c>
      <c r="L79" s="48">
        <v>3915.8</v>
      </c>
      <c r="M79" s="48">
        <v>6010.2</v>
      </c>
      <c r="N79" s="201">
        <v>2305.8000000000002</v>
      </c>
      <c r="O79" s="48">
        <v>2305.8000000000002</v>
      </c>
      <c r="P79" s="48">
        <f t="shared" si="6"/>
        <v>2305.8000000000002</v>
      </c>
      <c r="Q79" s="190">
        <f t="shared" si="7"/>
        <v>19794.199999999997</v>
      </c>
      <c r="R79" s="312"/>
    </row>
    <row r="80" spans="1:21" ht="35.1" customHeight="1" x14ac:dyDescent="0.25">
      <c r="A80" s="437"/>
      <c r="B80" s="438"/>
      <c r="C80" s="305"/>
      <c r="D80" s="204" t="s">
        <v>18</v>
      </c>
      <c r="E80" s="204" t="s">
        <v>394</v>
      </c>
      <c r="F80" s="219" t="s">
        <v>424</v>
      </c>
      <c r="G80" s="216">
        <v>611</v>
      </c>
      <c r="H80" s="48"/>
      <c r="I80" s="48"/>
      <c r="J80" s="48"/>
      <c r="K80" s="48">
        <v>111.3</v>
      </c>
      <c r="L80" s="48">
        <v>106.9</v>
      </c>
      <c r="M80" s="48">
        <v>105.5</v>
      </c>
      <c r="N80" s="201">
        <v>39.299999999999997</v>
      </c>
      <c r="O80" s="48">
        <v>39.299999999999997</v>
      </c>
      <c r="P80" s="48">
        <f t="shared" si="6"/>
        <v>39.299999999999997</v>
      </c>
      <c r="Q80" s="190">
        <f t="shared" si="7"/>
        <v>441.6</v>
      </c>
      <c r="R80" s="312"/>
    </row>
    <row r="81" spans="1:18" ht="35.1" customHeight="1" x14ac:dyDescent="0.25">
      <c r="A81" s="437"/>
      <c r="B81" s="438"/>
      <c r="C81" s="305"/>
      <c r="D81" s="204" t="s">
        <v>18</v>
      </c>
      <c r="E81" s="204" t="s">
        <v>394</v>
      </c>
      <c r="F81" s="219" t="s">
        <v>425</v>
      </c>
      <c r="G81" s="216">
        <v>611</v>
      </c>
      <c r="H81" s="48">
        <v>0</v>
      </c>
      <c r="I81" s="48">
        <v>0</v>
      </c>
      <c r="J81" s="48">
        <v>0</v>
      </c>
      <c r="K81" s="48">
        <v>547.79999999999995</v>
      </c>
      <c r="L81" s="48">
        <v>0</v>
      </c>
      <c r="M81" s="48">
        <v>0</v>
      </c>
      <c r="N81" s="201">
        <v>0</v>
      </c>
      <c r="O81" s="48">
        <v>0</v>
      </c>
      <c r="P81" s="48">
        <f t="shared" si="6"/>
        <v>0</v>
      </c>
      <c r="Q81" s="190">
        <f t="shared" si="7"/>
        <v>547.79999999999995</v>
      </c>
      <c r="R81" s="312"/>
    </row>
    <row r="82" spans="1:18" ht="35.1" customHeight="1" x14ac:dyDescent="0.25">
      <c r="A82" s="437"/>
      <c r="B82" s="195"/>
      <c r="C82" s="305"/>
      <c r="D82" s="204" t="s">
        <v>18</v>
      </c>
      <c r="E82" s="204" t="s">
        <v>394</v>
      </c>
      <c r="F82" s="219" t="s">
        <v>426</v>
      </c>
      <c r="G82" s="216">
        <v>611</v>
      </c>
      <c r="H82" s="48"/>
      <c r="I82" s="48"/>
      <c r="J82" s="48"/>
      <c r="K82" s="48"/>
      <c r="L82" s="48">
        <v>1204.5</v>
      </c>
      <c r="M82" s="48">
        <v>1690.6</v>
      </c>
      <c r="N82" s="201"/>
      <c r="O82" s="48"/>
      <c r="P82" s="48">
        <f t="shared" si="6"/>
        <v>0</v>
      </c>
      <c r="Q82" s="190">
        <f t="shared" si="7"/>
        <v>2895.1</v>
      </c>
      <c r="R82" s="312"/>
    </row>
    <row r="83" spans="1:18" ht="35.1" customHeight="1" x14ac:dyDescent="0.25">
      <c r="A83" s="437"/>
      <c r="B83" s="195"/>
      <c r="C83" s="305"/>
      <c r="D83" s="204" t="s">
        <v>18</v>
      </c>
      <c r="E83" s="204" t="s">
        <v>394</v>
      </c>
      <c r="F83" s="219" t="s">
        <v>398</v>
      </c>
      <c r="G83" s="216">
        <v>611</v>
      </c>
      <c r="H83" s="48"/>
      <c r="I83" s="48"/>
      <c r="J83" s="48"/>
      <c r="K83" s="48"/>
      <c r="L83" s="48">
        <v>689.2</v>
      </c>
      <c r="M83" s="48"/>
      <c r="N83" s="201"/>
      <c r="O83" s="48"/>
      <c r="P83" s="48">
        <f t="shared" si="6"/>
        <v>0</v>
      </c>
      <c r="Q83" s="190">
        <f t="shared" si="7"/>
        <v>689.2</v>
      </c>
      <c r="R83" s="312"/>
    </row>
    <row r="84" spans="1:18" ht="35.1" customHeight="1" x14ac:dyDescent="0.25">
      <c r="A84" s="437"/>
      <c r="B84" s="195"/>
      <c r="C84" s="305"/>
      <c r="D84" s="204" t="s">
        <v>18</v>
      </c>
      <c r="E84" s="204" t="s">
        <v>394</v>
      </c>
      <c r="F84" s="219" t="s">
        <v>427</v>
      </c>
      <c r="G84" s="216">
        <v>612</v>
      </c>
      <c r="H84" s="48"/>
      <c r="I84" s="48"/>
      <c r="J84" s="48"/>
      <c r="K84" s="48"/>
      <c r="L84" s="48">
        <v>1000</v>
      </c>
      <c r="M84" s="48"/>
      <c r="N84" s="201"/>
      <c r="O84" s="48"/>
      <c r="P84" s="48">
        <f t="shared" si="6"/>
        <v>0</v>
      </c>
      <c r="Q84" s="190">
        <f t="shared" si="7"/>
        <v>1000</v>
      </c>
      <c r="R84" s="312"/>
    </row>
    <row r="85" spans="1:18" ht="35.1" customHeight="1" x14ac:dyDescent="0.25">
      <c r="A85" s="437"/>
      <c r="B85" s="195"/>
      <c r="C85" s="305"/>
      <c r="D85" s="204" t="s">
        <v>18</v>
      </c>
      <c r="E85" s="204" t="s">
        <v>394</v>
      </c>
      <c r="F85" s="219" t="s">
        <v>428</v>
      </c>
      <c r="G85" s="216">
        <v>612</v>
      </c>
      <c r="H85" s="48"/>
      <c r="I85" s="48"/>
      <c r="J85" s="48"/>
      <c r="K85" s="48"/>
      <c r="L85" s="48">
        <v>50</v>
      </c>
      <c r="M85" s="48"/>
      <c r="N85" s="201"/>
      <c r="O85" s="48"/>
      <c r="P85" s="48">
        <f t="shared" si="6"/>
        <v>0</v>
      </c>
      <c r="Q85" s="190">
        <f t="shared" si="7"/>
        <v>50</v>
      </c>
      <c r="R85" s="312"/>
    </row>
    <row r="86" spans="1:18" ht="51.75" customHeight="1" x14ac:dyDescent="0.25">
      <c r="A86" s="437"/>
      <c r="B86" s="195" t="s">
        <v>429</v>
      </c>
      <c r="C86" s="305"/>
      <c r="D86" s="204" t="s">
        <v>18</v>
      </c>
      <c r="E86" s="204" t="s">
        <v>394</v>
      </c>
      <c r="F86" s="204" t="s">
        <v>15</v>
      </c>
      <c r="G86" s="21" t="s">
        <v>15</v>
      </c>
      <c r="H86" s="48">
        <f>959+71.4+16.6</f>
        <v>1047</v>
      </c>
      <c r="I86" s="48">
        <v>1619.2</v>
      </c>
      <c r="J86" s="48">
        <v>1279</v>
      </c>
      <c r="K86" s="48">
        <v>1279</v>
      </c>
      <c r="L86" s="48">
        <f>2009.3+22</f>
        <v>2031.3</v>
      </c>
      <c r="M86" s="48">
        <f>21.8+1091.4</f>
        <v>1113.2</v>
      </c>
      <c r="N86" s="201">
        <f>21.8+1091.4</f>
        <v>1113.2</v>
      </c>
      <c r="O86" s="48">
        <f>21.8+1091.4</f>
        <v>1113.2</v>
      </c>
      <c r="P86" s="48">
        <f t="shared" si="6"/>
        <v>1113.2</v>
      </c>
      <c r="Q86" s="190">
        <f t="shared" si="7"/>
        <v>11708.300000000003</v>
      </c>
      <c r="R86" s="312"/>
    </row>
    <row r="87" spans="1:18" ht="68.45" customHeight="1" x14ac:dyDescent="0.25">
      <c r="A87" s="439" t="s">
        <v>430</v>
      </c>
      <c r="B87" s="432" t="s">
        <v>431</v>
      </c>
      <c r="C87" s="433" t="s">
        <v>432</v>
      </c>
      <c r="D87" s="220" t="s">
        <v>18</v>
      </c>
      <c r="E87" s="220" t="s">
        <v>352</v>
      </c>
      <c r="F87" s="220" t="s">
        <v>422</v>
      </c>
      <c r="G87" s="221">
        <v>612</v>
      </c>
      <c r="H87" s="47"/>
      <c r="I87" s="47">
        <v>49.6</v>
      </c>
      <c r="J87" s="47">
        <v>63.5</v>
      </c>
      <c r="K87" s="222"/>
      <c r="L87" s="222"/>
      <c r="M87" s="222"/>
      <c r="N87" s="223"/>
      <c r="O87" s="222"/>
      <c r="P87" s="48">
        <f t="shared" si="6"/>
        <v>0</v>
      </c>
      <c r="Q87" s="190">
        <f t="shared" si="7"/>
        <v>113.1</v>
      </c>
      <c r="R87" s="432" t="s">
        <v>433</v>
      </c>
    </row>
    <row r="88" spans="1:18" ht="61.5" customHeight="1" x14ac:dyDescent="0.25">
      <c r="A88" s="439"/>
      <c r="B88" s="432"/>
      <c r="C88" s="433"/>
      <c r="D88" s="220" t="s">
        <v>18</v>
      </c>
      <c r="E88" s="220" t="s">
        <v>352</v>
      </c>
      <c r="F88" s="220" t="s">
        <v>422</v>
      </c>
      <c r="G88" s="221">
        <v>244</v>
      </c>
      <c r="H88" s="47">
        <v>59.6</v>
      </c>
      <c r="I88" s="47">
        <v>10</v>
      </c>
      <c r="J88" s="47">
        <v>10</v>
      </c>
      <c r="K88" s="222"/>
      <c r="L88" s="222"/>
      <c r="M88" s="222"/>
      <c r="N88" s="223"/>
      <c r="O88" s="222"/>
      <c r="P88" s="48">
        <f t="shared" si="6"/>
        <v>0</v>
      </c>
      <c r="Q88" s="190">
        <f t="shared" si="7"/>
        <v>79.599999999999994</v>
      </c>
      <c r="R88" s="432"/>
    </row>
    <row r="89" spans="1:18" ht="42.75" customHeight="1" x14ac:dyDescent="0.25">
      <c r="A89" s="431" t="s">
        <v>434</v>
      </c>
      <c r="B89" s="432" t="s">
        <v>435</v>
      </c>
      <c r="C89" s="433" t="s">
        <v>17</v>
      </c>
      <c r="D89" s="220" t="s">
        <v>18</v>
      </c>
      <c r="E89" s="220" t="s">
        <v>315</v>
      </c>
      <c r="F89" s="220" t="s">
        <v>436</v>
      </c>
      <c r="G89" s="221">
        <v>244</v>
      </c>
      <c r="H89" s="47">
        <v>31.4</v>
      </c>
      <c r="I89" s="47"/>
      <c r="J89" s="47"/>
      <c r="K89" s="48"/>
      <c r="L89" s="48"/>
      <c r="M89" s="48"/>
      <c r="N89" s="201"/>
      <c r="O89" s="48"/>
      <c r="P89" s="48">
        <f t="shared" si="6"/>
        <v>0</v>
      </c>
      <c r="Q89" s="190">
        <f t="shared" si="7"/>
        <v>31.4</v>
      </c>
      <c r="R89" s="432" t="s">
        <v>437</v>
      </c>
    </row>
    <row r="90" spans="1:18" ht="25.15" customHeight="1" x14ac:dyDescent="0.25">
      <c r="A90" s="431"/>
      <c r="B90" s="432"/>
      <c r="C90" s="433"/>
      <c r="D90" s="220" t="s">
        <v>18</v>
      </c>
      <c r="E90" s="220" t="s">
        <v>352</v>
      </c>
      <c r="F90" s="220" t="s">
        <v>422</v>
      </c>
      <c r="G90" s="221">
        <v>612</v>
      </c>
      <c r="H90" s="47">
        <v>16</v>
      </c>
      <c r="I90" s="47">
        <v>47.1</v>
      </c>
      <c r="J90" s="47">
        <v>72.5</v>
      </c>
      <c r="K90" s="222"/>
      <c r="L90" s="222"/>
      <c r="M90" s="222"/>
      <c r="N90" s="223"/>
      <c r="O90" s="222"/>
      <c r="P90" s="48">
        <f t="shared" si="6"/>
        <v>0</v>
      </c>
      <c r="Q90" s="190">
        <f t="shared" si="7"/>
        <v>135.6</v>
      </c>
      <c r="R90" s="432"/>
    </row>
    <row r="91" spans="1:18" ht="60.75" hidden="1" customHeight="1" x14ac:dyDescent="0.25">
      <c r="A91" s="434" t="s">
        <v>438</v>
      </c>
      <c r="B91" s="435" t="s">
        <v>439</v>
      </c>
      <c r="C91" s="221" t="s">
        <v>17</v>
      </c>
      <c r="D91" s="220">
        <v>975</v>
      </c>
      <c r="E91" s="220" t="s">
        <v>404</v>
      </c>
      <c r="F91" s="220" t="s">
        <v>15</v>
      </c>
      <c r="G91" s="224" t="s">
        <v>15</v>
      </c>
      <c r="H91" s="201">
        <v>0</v>
      </c>
      <c r="I91" s="201">
        <v>0</v>
      </c>
      <c r="J91" s="201">
        <v>0</v>
      </c>
      <c r="K91" s="48"/>
      <c r="L91" s="48"/>
      <c r="M91" s="48"/>
      <c r="N91" s="201"/>
      <c r="O91" s="48"/>
      <c r="P91" s="48">
        <f t="shared" si="6"/>
        <v>0</v>
      </c>
      <c r="Q91" s="190">
        <f t="shared" si="7"/>
        <v>0</v>
      </c>
      <c r="R91" s="435" t="s">
        <v>440</v>
      </c>
    </row>
    <row r="92" spans="1:18" ht="102.75" hidden="1" customHeight="1" x14ac:dyDescent="0.25">
      <c r="A92" s="434"/>
      <c r="B92" s="435"/>
      <c r="C92" s="221" t="s">
        <v>441</v>
      </c>
      <c r="D92" s="220">
        <v>964</v>
      </c>
      <c r="E92" s="220" t="s">
        <v>404</v>
      </c>
      <c r="F92" s="220" t="s">
        <v>15</v>
      </c>
      <c r="G92" s="225" t="s">
        <v>15</v>
      </c>
      <c r="H92" s="201">
        <v>0</v>
      </c>
      <c r="I92" s="201">
        <v>0</v>
      </c>
      <c r="J92" s="201">
        <v>0</v>
      </c>
      <c r="K92" s="48"/>
      <c r="L92" s="48"/>
      <c r="M92" s="48"/>
      <c r="N92" s="201"/>
      <c r="O92" s="48"/>
      <c r="P92" s="48">
        <f t="shared" si="6"/>
        <v>0</v>
      </c>
      <c r="Q92" s="190">
        <f t="shared" si="7"/>
        <v>0</v>
      </c>
      <c r="R92" s="435"/>
    </row>
    <row r="93" spans="1:18" ht="70.5" hidden="1" customHeight="1" x14ac:dyDescent="0.25">
      <c r="A93" s="434"/>
      <c r="B93" s="435"/>
      <c r="C93" s="221" t="s">
        <v>442</v>
      </c>
      <c r="D93" s="220">
        <v>956</v>
      </c>
      <c r="E93" s="220" t="s">
        <v>443</v>
      </c>
      <c r="F93" s="220" t="s">
        <v>15</v>
      </c>
      <c r="G93" s="225" t="s">
        <v>15</v>
      </c>
      <c r="H93" s="201">
        <v>0</v>
      </c>
      <c r="I93" s="201">
        <v>0</v>
      </c>
      <c r="J93" s="201">
        <v>0</v>
      </c>
      <c r="K93" s="48"/>
      <c r="L93" s="48"/>
      <c r="M93" s="48"/>
      <c r="N93" s="201"/>
      <c r="O93" s="48"/>
      <c r="P93" s="48">
        <f t="shared" si="6"/>
        <v>0</v>
      </c>
      <c r="Q93" s="190">
        <f t="shared" si="7"/>
        <v>0</v>
      </c>
      <c r="R93" s="435"/>
    </row>
    <row r="94" spans="1:18" ht="66" customHeight="1" x14ac:dyDescent="0.25">
      <c r="A94" s="226" t="s">
        <v>438</v>
      </c>
      <c r="B94" s="221" t="s">
        <v>444</v>
      </c>
      <c r="C94" s="221" t="s">
        <v>445</v>
      </c>
      <c r="D94" s="220" t="s">
        <v>18</v>
      </c>
      <c r="E94" s="220" t="s">
        <v>315</v>
      </c>
      <c r="F94" s="220" t="s">
        <v>436</v>
      </c>
      <c r="G94" s="227" t="s">
        <v>446</v>
      </c>
      <c r="H94" s="47">
        <v>114.4</v>
      </c>
      <c r="I94" s="47">
        <v>166.8</v>
      </c>
      <c r="J94" s="47">
        <v>0</v>
      </c>
      <c r="K94" s="222"/>
      <c r="L94" s="222"/>
      <c r="M94" s="222"/>
      <c r="N94" s="223"/>
      <c r="O94" s="222"/>
      <c r="P94" s="48">
        <f t="shared" si="6"/>
        <v>0</v>
      </c>
      <c r="Q94" s="190">
        <f t="shared" si="7"/>
        <v>281.20000000000005</v>
      </c>
      <c r="R94" s="221" t="s">
        <v>447</v>
      </c>
    </row>
    <row r="95" spans="1:18" ht="50.45" customHeight="1" x14ac:dyDescent="0.25">
      <c r="A95" s="226" t="s">
        <v>448</v>
      </c>
      <c r="B95" s="221" t="s">
        <v>449</v>
      </c>
      <c r="C95" s="221" t="s">
        <v>17</v>
      </c>
      <c r="D95" s="220" t="s">
        <v>18</v>
      </c>
      <c r="E95" s="220" t="s">
        <v>352</v>
      </c>
      <c r="F95" s="220" t="s">
        <v>450</v>
      </c>
      <c r="G95" s="228">
        <v>612</v>
      </c>
      <c r="H95" s="47">
        <v>5</v>
      </c>
      <c r="I95" s="47"/>
      <c r="J95" s="48"/>
      <c r="K95" s="48"/>
      <c r="L95" s="47"/>
      <c r="M95" s="47"/>
      <c r="N95" s="201"/>
      <c r="O95" s="47"/>
      <c r="P95" s="48">
        <f t="shared" si="6"/>
        <v>0</v>
      </c>
      <c r="Q95" s="190">
        <f t="shared" si="7"/>
        <v>5</v>
      </c>
      <c r="R95" s="229"/>
    </row>
    <row r="96" spans="1:18" ht="35.1" customHeight="1" x14ac:dyDescent="0.3">
      <c r="A96" s="429" t="s">
        <v>451</v>
      </c>
      <c r="B96" s="429"/>
      <c r="C96" s="230"/>
      <c r="D96" s="230"/>
      <c r="E96" s="230"/>
      <c r="F96" s="230"/>
      <c r="G96" s="230"/>
      <c r="H96" s="231">
        <f t="shared" ref="H96:M96" si="8">SUM(H77:H95)</f>
        <v>24540.200000000004</v>
      </c>
      <c r="I96" s="231">
        <f t="shared" si="8"/>
        <v>27318.799999999996</v>
      </c>
      <c r="J96" s="232">
        <f t="shared" si="8"/>
        <v>37615.9</v>
      </c>
      <c r="K96" s="232">
        <f t="shared" si="8"/>
        <v>34566.200000000004</v>
      </c>
      <c r="L96" s="232">
        <f t="shared" si="8"/>
        <v>32389.600000000002</v>
      </c>
      <c r="M96" s="232">
        <f t="shared" si="8"/>
        <v>32367.1</v>
      </c>
      <c r="N96" s="233">
        <f>SUM(N77:N95)</f>
        <v>26500.7</v>
      </c>
      <c r="O96" s="232">
        <f>SUM(O77:O95)</f>
        <v>26500.7</v>
      </c>
      <c r="P96" s="48">
        <f t="shared" si="6"/>
        <v>26500.7</v>
      </c>
      <c r="Q96" s="190">
        <f t="shared" si="7"/>
        <v>268299.90000000002</v>
      </c>
      <c r="R96" s="234"/>
    </row>
    <row r="97" spans="1:18" s="237" customFormat="1" ht="35.1" customHeight="1" x14ac:dyDescent="0.3">
      <c r="A97" s="429" t="s">
        <v>452</v>
      </c>
      <c r="B97" s="429"/>
      <c r="C97" s="235"/>
      <c r="D97" s="235"/>
      <c r="E97" s="235"/>
      <c r="F97" s="235"/>
      <c r="G97" s="235"/>
      <c r="H97" s="232">
        <f t="shared" ref="H97:O97" si="9">H96+H75+H29</f>
        <v>214621.90000000005</v>
      </c>
      <c r="I97" s="232">
        <f t="shared" si="9"/>
        <v>231479.1</v>
      </c>
      <c r="J97" s="232">
        <f t="shared" si="9"/>
        <v>252889.60000000001</v>
      </c>
      <c r="K97" s="232">
        <f t="shared" si="9"/>
        <v>262736.60000000003</v>
      </c>
      <c r="L97" s="232">
        <f t="shared" si="9"/>
        <v>275850</v>
      </c>
      <c r="M97" s="232">
        <f t="shared" si="9"/>
        <v>278474.3</v>
      </c>
      <c r="N97" s="233">
        <f t="shared" si="9"/>
        <v>230247.59999999998</v>
      </c>
      <c r="O97" s="232">
        <f t="shared" si="9"/>
        <v>230247.59999999998</v>
      </c>
      <c r="P97" s="48">
        <f t="shared" si="6"/>
        <v>230247.59999999998</v>
      </c>
      <c r="Q97" s="190">
        <f t="shared" si="7"/>
        <v>2206794.3000000003</v>
      </c>
      <c r="R97" s="236"/>
    </row>
    <row r="98" spans="1:18" s="237" customFormat="1" ht="35.1" customHeight="1" x14ac:dyDescent="0.3">
      <c r="A98" s="429" t="s">
        <v>320</v>
      </c>
      <c r="B98" s="429"/>
      <c r="C98" s="235"/>
      <c r="D98" s="235"/>
      <c r="E98" s="235"/>
      <c r="F98" s="235"/>
      <c r="G98" s="235"/>
      <c r="H98" s="232">
        <f>H7+H11+H12+H20+H21+H24+H26+H48+H49+H50+H52+H53+H55+H57+H58+H59+H60+H62+H66+H67</f>
        <v>109406.90000000001</v>
      </c>
      <c r="I98" s="232">
        <f>I7+I11+I12+I20+I21+I24+I26+I48+I49+I50+I52+I53+I55+I57+I58+I59+I60+I62+I66+I67</f>
        <v>113565.79999999999</v>
      </c>
      <c r="J98" s="232">
        <f>J7+J11+J12+J20+J21+J22+J23+J24+J26+J48+J49+J50+J52+J53+J55+J57+J58+J59+J60+J62+J66+J67</f>
        <v>149314.1</v>
      </c>
      <c r="K98" s="232">
        <f>K7+K11+K12+K20+K21+K24+K26+K48+K49+K50+K52+K53+K55+K57+K58+K59+K60+K61+K62+K66+K67+K56</f>
        <v>163921.20000000001</v>
      </c>
      <c r="L98" s="232">
        <f>L7+L11+L12+L20+L21+L24+L26+L48+L49+L50+L52+L53+L55+L57+L58+L59+L60+L61+L62+L66+L67+L83+L82+L65+L64+L63+L84+L17</f>
        <v>178896.09999999998</v>
      </c>
      <c r="M98" s="232">
        <f>M7+M11+M12+M20+M21+M24+M26+M48+M49+M50+M52+M53+M55+M57+M58+M59+M60+M61+M62+M66+M67+M51+M54+M82+M15+M17</f>
        <v>182332.09999999998</v>
      </c>
      <c r="N98" s="233">
        <f>N7+N11+N12+N20+N21+N24+N26+N48+N49+N50+N52+N53+N55+N57+N58+N59+N60+N61+N62+N66+N67</f>
        <v>169171.99999999997</v>
      </c>
      <c r="O98" s="232">
        <f>O7+O11+O12+O20+O21+O24+O26+O48+O49+O50+O52+O53+O55+O57+O58+O59+O60+O61+O62+O66+O67</f>
        <v>169171.99999999997</v>
      </c>
      <c r="P98" s="48">
        <f t="shared" si="6"/>
        <v>169171.99999999997</v>
      </c>
      <c r="Q98" s="190">
        <f t="shared" si="7"/>
        <v>1404952.2</v>
      </c>
      <c r="R98" s="236"/>
    </row>
    <row r="99" spans="1:18" s="237" customFormat="1" ht="35.1" customHeight="1" x14ac:dyDescent="0.3">
      <c r="A99" s="429" t="s">
        <v>321</v>
      </c>
      <c r="B99" s="429"/>
      <c r="C99" s="235"/>
      <c r="D99" s="235"/>
      <c r="E99" s="235"/>
      <c r="F99" s="235"/>
      <c r="G99" s="235"/>
      <c r="H99" s="232">
        <f>H8+H9+H13+H14+H25+H27+H28+H31+H32+H33+H34+H35+H36+H37+H38+H39+H40+H41+H42+H43+H44+H45+H46+H47+H73+H77+H78+H79+H80+H81+H94+H95+H88+H89+H90+H87</f>
        <v>103390.39999999999</v>
      </c>
      <c r="I99" s="232">
        <f>I8+I9+I13+I14+I25+I27+I28+I31+I32+I33+I34+I35+I36+I37+I38+I39+I40+I41+I42+I43+I44+I45+I46+I47+I73+I77+I78+I79+I80+I81+I94+I95+I88+I89+I90+I87</f>
        <v>115762.00000000001</v>
      </c>
      <c r="J99" s="232">
        <f>J8+J9+J13+J14+J25+J27+J28+J31+J32+J33+J34+J35+J36+J37+J38+J39+J40+J41+J42+J43+J44+J45+J46+J47+J73+J77+J78+J79+J80+J81+J94+J95+J88+J89+J90+J87</f>
        <v>101282.7</v>
      </c>
      <c r="K99" s="232">
        <f>K8+K9+K13+K14+K25+K27+K28+K31+K32+K33+K34+K35+K36+K37+K38+K39+K40+K41+K42+K43+K44+K45+K46+K47+K73+K77+K78+K79+K80+K81+K94+K95+K88+K89+K90+K87+K71</f>
        <v>96522.60000000002</v>
      </c>
      <c r="L99" s="232">
        <f>L8+L9+L13+L14+L25+L27+L28+L31+L32+L33+L34+L35+L36+L37+L38+L39+L40+L41+L42+L43+L44+L45+L46+L47+L73+L77+L78+L79+L80+L81+L94+L95+L88+L89+L90+L87+L71+L18+L85+L10</f>
        <v>93843.599999999991</v>
      </c>
      <c r="M99" s="232">
        <f>M8+M9+M13+M14+M25+M27+M28+M31+M32+M33+M34+M35+M36+M37+M38+M39+M40+M41+M42+M43+M44+M45+M46+M47+M73+M77+M78+M79+M80+M81+M94+M95+M88+M89+M90+M87+M71+M16+M18+M19</f>
        <v>93528.5</v>
      </c>
      <c r="N99" s="233">
        <f>N8+N9+N13+N14+N25+N27+N28+N31+N32+N33+N34+N35+N36+N37+N38+N39+N40+N41+N42+N43+N44+N45+N46+N47+N73+N77+N78+N79+N80+N81+N94+N95+N88+N89+N90+N87+N71</f>
        <v>58461.900000000009</v>
      </c>
      <c r="O99" s="232">
        <f>O8+O9+O13+O14+O25+O27+O28+O31+O32+O33+O34+O35+O36+O37+O38+O39+O40+O41+O42+O43+O44+O45+O46+O47+O73+O77+O78+O79+O80+O81+O94+O95+O88+O89+O90+O87+O71</f>
        <v>58461.900000000009</v>
      </c>
      <c r="P99" s="48">
        <f t="shared" si="6"/>
        <v>58461.900000000009</v>
      </c>
      <c r="Q99" s="190">
        <f t="shared" si="7"/>
        <v>779715.50000000012</v>
      </c>
      <c r="R99" s="236"/>
    </row>
    <row r="100" spans="1:18" s="237" customFormat="1" ht="25.15" customHeight="1" x14ac:dyDescent="0.3">
      <c r="A100" s="429" t="s">
        <v>322</v>
      </c>
      <c r="B100" s="429"/>
      <c r="C100" s="238"/>
      <c r="D100" s="235"/>
      <c r="E100" s="235"/>
      <c r="F100" s="235"/>
      <c r="G100" s="235"/>
      <c r="H100" s="231">
        <f t="shared" ref="H100:M100" si="10">H68+H86</f>
        <v>1824.6</v>
      </c>
      <c r="I100" s="231">
        <f t="shared" si="10"/>
        <v>2151.3000000000002</v>
      </c>
      <c r="J100" s="232">
        <f t="shared" si="10"/>
        <v>2292.8000000000002</v>
      </c>
      <c r="K100" s="232">
        <f>K68+K86</f>
        <v>2292.8000000000002</v>
      </c>
      <c r="L100" s="232">
        <f>L68+L86</f>
        <v>3110.3</v>
      </c>
      <c r="M100" s="232">
        <f t="shared" si="10"/>
        <v>2613.6999999999998</v>
      </c>
      <c r="N100" s="233">
        <f>N68+N86</f>
        <v>2613.6999999999998</v>
      </c>
      <c r="O100" s="232">
        <f>O68+O86</f>
        <v>2613.6999999999998</v>
      </c>
      <c r="P100" s="48">
        <f t="shared" si="6"/>
        <v>2613.6999999999998</v>
      </c>
      <c r="Q100" s="190">
        <f t="shared" si="7"/>
        <v>22126.600000000002</v>
      </c>
      <c r="R100" s="236"/>
    </row>
    <row r="101" spans="1:18" ht="26.45" customHeight="1" x14ac:dyDescent="0.3">
      <c r="A101" s="430" t="s">
        <v>453</v>
      </c>
      <c r="B101" s="430"/>
      <c r="C101" s="430"/>
      <c r="D101" s="239"/>
      <c r="E101" s="239"/>
      <c r="F101" s="239"/>
      <c r="G101" s="239"/>
      <c r="H101" s="240"/>
      <c r="I101" s="240"/>
      <c r="J101" s="240"/>
      <c r="K101" s="240"/>
      <c r="L101" s="240"/>
      <c r="M101" s="240"/>
      <c r="N101" s="241"/>
      <c r="O101" s="240"/>
      <c r="P101" s="240"/>
      <c r="Q101" s="240"/>
      <c r="R101" s="242" t="s">
        <v>34</v>
      </c>
    </row>
    <row r="102" spans="1:18" ht="59.25" customHeight="1" x14ac:dyDescent="0.25">
      <c r="A102" s="168"/>
      <c r="B102" s="243"/>
      <c r="C102" s="170"/>
      <c r="D102" s="170"/>
      <c r="E102" s="170"/>
      <c r="F102" s="170"/>
      <c r="G102" s="170"/>
      <c r="H102" s="170"/>
    </row>
    <row r="103" spans="1:18" s="84" customFormat="1" ht="24.75" customHeight="1" x14ac:dyDescent="0.25">
      <c r="A103" s="168"/>
      <c r="B103" s="243"/>
      <c r="C103" s="170"/>
      <c r="D103" s="170"/>
      <c r="E103" s="170"/>
      <c r="F103" s="170"/>
      <c r="G103" s="170"/>
      <c r="H103" s="170"/>
      <c r="I103" s="35"/>
      <c r="J103" s="35"/>
      <c r="K103" s="35"/>
      <c r="L103" s="35"/>
      <c r="M103" s="35"/>
      <c r="N103" s="244"/>
      <c r="O103" s="35"/>
      <c r="P103" s="35"/>
      <c r="Q103" s="35"/>
      <c r="R103" s="35"/>
    </row>
    <row r="104" spans="1:18" ht="20.25" customHeight="1" x14ac:dyDescent="0.25">
      <c r="A104" s="168"/>
      <c r="B104" s="243"/>
      <c r="C104" s="170"/>
      <c r="D104" s="170"/>
      <c r="E104" s="170"/>
      <c r="F104" s="170"/>
      <c r="G104" s="170"/>
      <c r="H104" s="170"/>
    </row>
    <row r="105" spans="1:18" s="163" customFormat="1" x14ac:dyDescent="0.25">
      <c r="A105" s="168"/>
      <c r="B105" s="243"/>
      <c r="C105" s="170"/>
      <c r="D105" s="170"/>
      <c r="E105" s="170"/>
      <c r="F105" s="170"/>
      <c r="G105" s="170"/>
      <c r="H105" s="170"/>
      <c r="I105" s="35"/>
      <c r="J105" s="35"/>
      <c r="K105" s="35"/>
      <c r="L105" s="35"/>
      <c r="M105" s="35"/>
      <c r="N105" s="244"/>
      <c r="O105" s="35"/>
      <c r="P105" s="35"/>
      <c r="Q105" s="35"/>
      <c r="R105" s="35"/>
    </row>
    <row r="106" spans="1:18" s="115" customFormat="1" x14ac:dyDescent="0.25">
      <c r="A106" s="168"/>
      <c r="B106" s="243"/>
      <c r="C106" s="170"/>
      <c r="D106" s="170"/>
      <c r="E106" s="170"/>
      <c r="F106" s="170"/>
      <c r="G106" s="170"/>
      <c r="H106" s="170"/>
      <c r="I106" s="35"/>
      <c r="J106" s="35"/>
      <c r="K106" s="35"/>
      <c r="L106" s="35"/>
      <c r="M106" s="35"/>
      <c r="N106" s="244"/>
      <c r="O106" s="35"/>
      <c r="P106" s="35"/>
      <c r="Q106" s="35"/>
      <c r="R106" s="35"/>
    </row>
    <row r="107" spans="1:18" x14ac:dyDescent="0.25">
      <c r="A107" s="168"/>
      <c r="B107" s="243"/>
      <c r="C107" s="170"/>
      <c r="D107" s="170"/>
      <c r="E107" s="170"/>
      <c r="F107" s="170"/>
      <c r="G107" s="170"/>
      <c r="H107" s="170"/>
    </row>
    <row r="108" spans="1:18" x14ac:dyDescent="0.25">
      <c r="A108" s="168"/>
      <c r="B108" s="243"/>
      <c r="C108" s="170"/>
      <c r="D108" s="170"/>
      <c r="E108" s="170"/>
      <c r="F108" s="170"/>
      <c r="G108" s="170"/>
      <c r="H108" s="170"/>
    </row>
    <row r="109" spans="1:18" x14ac:dyDescent="0.25">
      <c r="A109" s="168"/>
      <c r="B109" s="243"/>
      <c r="C109" s="170"/>
      <c r="D109" s="170"/>
      <c r="E109" s="170"/>
      <c r="F109" s="170"/>
      <c r="G109" s="170"/>
      <c r="H109" s="170"/>
    </row>
    <row r="110" spans="1:18" x14ac:dyDescent="0.25">
      <c r="A110" s="168"/>
      <c r="B110" s="243"/>
      <c r="C110" s="170"/>
      <c r="D110" s="170"/>
      <c r="E110" s="170"/>
      <c r="F110" s="170"/>
      <c r="G110" s="170"/>
      <c r="H110" s="170"/>
    </row>
    <row r="111" spans="1:18" x14ac:dyDescent="0.25">
      <c r="A111" s="168"/>
      <c r="B111" s="243"/>
      <c r="C111" s="170"/>
      <c r="D111" s="170"/>
      <c r="E111" s="170"/>
      <c r="F111" s="170"/>
      <c r="G111" s="170"/>
      <c r="H111" s="170"/>
    </row>
    <row r="112" spans="1:18" x14ac:dyDescent="0.25">
      <c r="A112" s="168"/>
      <c r="B112" s="243"/>
      <c r="C112" s="170"/>
      <c r="D112" s="170"/>
      <c r="E112" s="170"/>
      <c r="F112" s="170"/>
      <c r="G112" s="170"/>
      <c r="H112" s="170"/>
    </row>
    <row r="113" spans="1:8" x14ac:dyDescent="0.25">
      <c r="A113" s="168"/>
      <c r="B113" s="243"/>
      <c r="C113" s="170"/>
      <c r="D113" s="170"/>
      <c r="E113" s="170"/>
      <c r="F113" s="170"/>
      <c r="G113" s="170"/>
      <c r="H113" s="170"/>
    </row>
    <row r="114" spans="1:8" x14ac:dyDescent="0.25">
      <c r="A114" s="168"/>
      <c r="B114" s="243"/>
      <c r="C114" s="170"/>
      <c r="D114" s="170"/>
      <c r="E114" s="170"/>
      <c r="F114" s="170"/>
      <c r="G114" s="170"/>
      <c r="H114" s="170"/>
    </row>
    <row r="115" spans="1:8" x14ac:dyDescent="0.25">
      <c r="A115" s="168"/>
      <c r="B115" s="243"/>
      <c r="C115" s="170"/>
      <c r="D115" s="170"/>
      <c r="E115" s="170"/>
      <c r="F115" s="170"/>
      <c r="G115" s="170"/>
      <c r="H115" s="170"/>
    </row>
    <row r="116" spans="1:8" x14ac:dyDescent="0.25">
      <c r="A116" s="168"/>
      <c r="B116" s="243"/>
      <c r="C116" s="170"/>
      <c r="D116" s="170"/>
      <c r="E116" s="170"/>
      <c r="F116" s="170"/>
      <c r="G116" s="170"/>
      <c r="H116" s="170"/>
    </row>
    <row r="117" spans="1:8" x14ac:dyDescent="0.25">
      <c r="A117" s="168"/>
      <c r="B117" s="243"/>
      <c r="C117" s="170"/>
      <c r="D117" s="170"/>
      <c r="E117" s="170"/>
      <c r="F117" s="170"/>
      <c r="G117" s="170"/>
      <c r="H117" s="170"/>
    </row>
    <row r="118" spans="1:8" x14ac:dyDescent="0.25">
      <c r="A118" s="168"/>
      <c r="B118" s="243"/>
      <c r="C118" s="170"/>
      <c r="D118" s="170"/>
      <c r="E118" s="170"/>
      <c r="F118" s="170"/>
      <c r="G118" s="170"/>
      <c r="H118" s="170"/>
    </row>
    <row r="119" spans="1:8" x14ac:dyDescent="0.25">
      <c r="A119" s="168"/>
      <c r="B119" s="243"/>
      <c r="C119" s="170"/>
      <c r="D119" s="170"/>
      <c r="E119" s="170"/>
      <c r="F119" s="170"/>
      <c r="G119" s="170"/>
      <c r="H119" s="170"/>
    </row>
    <row r="120" spans="1:8" x14ac:dyDescent="0.25">
      <c r="A120" s="168"/>
      <c r="B120" s="243"/>
      <c r="C120" s="170"/>
      <c r="D120" s="170"/>
      <c r="E120" s="170"/>
      <c r="F120" s="170"/>
      <c r="G120" s="170"/>
      <c r="H120" s="170"/>
    </row>
    <row r="121" spans="1:8" x14ac:dyDescent="0.25">
      <c r="A121" s="168"/>
      <c r="B121" s="243"/>
      <c r="C121" s="170"/>
      <c r="D121" s="170"/>
      <c r="E121" s="170"/>
      <c r="F121" s="170"/>
      <c r="G121" s="170"/>
      <c r="H121" s="170"/>
    </row>
    <row r="122" spans="1:8" x14ac:dyDescent="0.25">
      <c r="A122" s="168"/>
      <c r="B122" s="243"/>
      <c r="C122" s="170"/>
      <c r="D122" s="170"/>
      <c r="E122" s="170"/>
      <c r="F122" s="170"/>
      <c r="G122" s="170"/>
      <c r="H122" s="170"/>
    </row>
    <row r="123" spans="1:8" x14ac:dyDescent="0.25">
      <c r="A123" s="168"/>
      <c r="B123" s="243"/>
      <c r="C123" s="170"/>
      <c r="D123" s="170"/>
      <c r="E123" s="170"/>
      <c r="F123" s="170"/>
      <c r="G123" s="170"/>
      <c r="H123" s="170"/>
    </row>
    <row r="124" spans="1:8" x14ac:dyDescent="0.25">
      <c r="A124" s="168"/>
      <c r="B124" s="243"/>
      <c r="C124" s="170"/>
      <c r="D124" s="170"/>
      <c r="E124" s="170"/>
      <c r="F124" s="170"/>
      <c r="G124" s="170"/>
      <c r="H124" s="170"/>
    </row>
    <row r="125" spans="1:8" x14ac:dyDescent="0.25">
      <c r="A125" s="168"/>
      <c r="B125" s="243"/>
      <c r="C125" s="170"/>
      <c r="D125" s="170"/>
      <c r="E125" s="170"/>
      <c r="F125" s="170"/>
      <c r="G125" s="170"/>
      <c r="H125" s="170"/>
    </row>
    <row r="126" spans="1:8" x14ac:dyDescent="0.25">
      <c r="A126" s="168"/>
      <c r="B126" s="243"/>
      <c r="C126" s="170"/>
      <c r="D126" s="170"/>
      <c r="E126" s="170"/>
      <c r="F126" s="170"/>
      <c r="G126" s="170"/>
      <c r="H126" s="170"/>
    </row>
    <row r="127" spans="1:8" x14ac:dyDescent="0.25">
      <c r="A127" s="168"/>
      <c r="B127" s="243"/>
      <c r="C127" s="170"/>
      <c r="D127" s="170"/>
      <c r="E127" s="170"/>
      <c r="F127" s="170"/>
      <c r="G127" s="170"/>
      <c r="H127" s="170"/>
    </row>
    <row r="128" spans="1:8" x14ac:dyDescent="0.25">
      <c r="A128" s="168"/>
      <c r="B128" s="243"/>
      <c r="C128" s="170"/>
      <c r="D128" s="170"/>
      <c r="E128" s="170"/>
      <c r="F128" s="170"/>
      <c r="G128" s="170"/>
      <c r="H128" s="170"/>
    </row>
    <row r="129" spans="1:8" x14ac:dyDescent="0.25">
      <c r="A129" s="168"/>
      <c r="B129" s="243"/>
      <c r="C129" s="170"/>
      <c r="D129" s="170"/>
      <c r="E129" s="170"/>
      <c r="F129" s="170"/>
      <c r="G129" s="170"/>
      <c r="H129" s="170"/>
    </row>
    <row r="130" spans="1:8" x14ac:dyDescent="0.25">
      <c r="A130" s="168"/>
      <c r="B130" s="243"/>
      <c r="C130" s="170"/>
      <c r="D130" s="170"/>
      <c r="E130" s="170"/>
      <c r="F130" s="170"/>
      <c r="G130" s="170"/>
      <c r="H130" s="170"/>
    </row>
    <row r="131" spans="1:8" x14ac:dyDescent="0.25">
      <c r="A131" s="168"/>
      <c r="B131" s="243"/>
      <c r="C131" s="170"/>
      <c r="D131" s="170"/>
      <c r="E131" s="170"/>
      <c r="F131" s="170"/>
      <c r="G131" s="170"/>
      <c r="H131" s="170"/>
    </row>
    <row r="132" spans="1:8" x14ac:dyDescent="0.25">
      <c r="A132" s="168"/>
      <c r="B132" s="243"/>
      <c r="C132" s="170"/>
      <c r="D132" s="170"/>
      <c r="E132" s="170"/>
      <c r="F132" s="170"/>
      <c r="G132" s="170"/>
      <c r="H132" s="170"/>
    </row>
    <row r="133" spans="1:8" x14ac:dyDescent="0.25">
      <c r="A133" s="168"/>
      <c r="B133" s="243"/>
      <c r="C133" s="170"/>
      <c r="D133" s="170"/>
      <c r="E133" s="170"/>
      <c r="F133" s="170"/>
      <c r="G133" s="170"/>
      <c r="H133" s="170"/>
    </row>
    <row r="134" spans="1:8" x14ac:dyDescent="0.25">
      <c r="A134" s="168"/>
      <c r="B134" s="243"/>
      <c r="C134" s="170"/>
      <c r="D134" s="170"/>
      <c r="E134" s="170"/>
      <c r="F134" s="170"/>
      <c r="G134" s="170"/>
      <c r="H134" s="170"/>
    </row>
    <row r="135" spans="1:8" x14ac:dyDescent="0.25">
      <c r="A135" s="168"/>
      <c r="B135" s="243"/>
      <c r="C135" s="170"/>
      <c r="D135" s="170"/>
      <c r="E135" s="170"/>
      <c r="F135" s="170"/>
      <c r="G135" s="170"/>
      <c r="H135" s="170"/>
    </row>
    <row r="136" spans="1:8" x14ac:dyDescent="0.25">
      <c r="A136" s="168"/>
      <c r="B136" s="243"/>
      <c r="C136" s="170"/>
      <c r="D136" s="170"/>
      <c r="E136" s="170"/>
      <c r="F136" s="170"/>
      <c r="G136" s="170"/>
      <c r="H136" s="170"/>
    </row>
    <row r="137" spans="1:8" x14ac:dyDescent="0.25">
      <c r="A137" s="168"/>
      <c r="B137" s="243"/>
      <c r="C137" s="170"/>
      <c r="D137" s="170"/>
      <c r="E137" s="170"/>
      <c r="F137" s="170"/>
      <c r="G137" s="170"/>
      <c r="H137" s="170"/>
    </row>
    <row r="138" spans="1:8" x14ac:dyDescent="0.25">
      <c r="A138" s="168"/>
      <c r="B138" s="243"/>
      <c r="C138" s="170"/>
      <c r="D138" s="170"/>
      <c r="E138" s="170"/>
      <c r="F138" s="170"/>
      <c r="G138" s="170"/>
      <c r="H138" s="170"/>
    </row>
  </sheetData>
  <mergeCells count="55">
    <mergeCell ref="I1:J1"/>
    <mergeCell ref="O1:R1"/>
    <mergeCell ref="A2:R2"/>
    <mergeCell ref="A3:A4"/>
    <mergeCell ref="B3:B4"/>
    <mergeCell ref="C3:C4"/>
    <mergeCell ref="D3:G3"/>
    <mergeCell ref="H3:Q3"/>
    <mergeCell ref="R3:R4"/>
    <mergeCell ref="R26:R28"/>
    <mergeCell ref="A27:A28"/>
    <mergeCell ref="B27:B28"/>
    <mergeCell ref="C27:C28"/>
    <mergeCell ref="A5:R5"/>
    <mergeCell ref="A6:R6"/>
    <mergeCell ref="A8:A14"/>
    <mergeCell ref="B8:B14"/>
    <mergeCell ref="C8:C14"/>
    <mergeCell ref="R8:R19"/>
    <mergeCell ref="A20:A23"/>
    <mergeCell ref="B20:B23"/>
    <mergeCell ref="C20:C23"/>
    <mergeCell ref="R20:R23"/>
    <mergeCell ref="R24:R25"/>
    <mergeCell ref="A87:A88"/>
    <mergeCell ref="B87:B88"/>
    <mergeCell ref="C87:C88"/>
    <mergeCell ref="R87:R88"/>
    <mergeCell ref="A29:B29"/>
    <mergeCell ref="A30:R30"/>
    <mergeCell ref="A31:A47"/>
    <mergeCell ref="B31:B47"/>
    <mergeCell ref="C31:C47"/>
    <mergeCell ref="R31:R68"/>
    <mergeCell ref="A48:A67"/>
    <mergeCell ref="B48:B67"/>
    <mergeCell ref="C48:C67"/>
    <mergeCell ref="A75:B75"/>
    <mergeCell ref="A77:A86"/>
    <mergeCell ref="B77:B81"/>
    <mergeCell ref="C77:C86"/>
    <mergeCell ref="R77:R86"/>
    <mergeCell ref="A101:C101"/>
    <mergeCell ref="A89:A90"/>
    <mergeCell ref="B89:B90"/>
    <mergeCell ref="C89:C90"/>
    <mergeCell ref="R89:R90"/>
    <mergeCell ref="A91:A93"/>
    <mergeCell ref="B91:B93"/>
    <mergeCell ref="R91:R93"/>
    <mergeCell ref="A96:B96"/>
    <mergeCell ref="A97:B97"/>
    <mergeCell ref="A98:B98"/>
    <mergeCell ref="A99:B99"/>
    <mergeCell ref="A100:B100"/>
  </mergeCells>
  <pageMargins left="0.51181102362204722" right="0.39370078740157483" top="0.55118110236220474" bottom="0.35433070866141736" header="0.31496062992125984" footer="0.31496062992125984"/>
  <pageSetup paperSize="9" scale="45" fitToHeight="8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21</vt:i4>
      </vt:variant>
    </vt:vector>
  </HeadingPairs>
  <TitlesOfParts>
    <vt:vector size="34" baseType="lpstr">
      <vt:lpstr>прил.1 к пасп.МП</vt:lpstr>
      <vt:lpstr>прил.2 к пасп.МП</vt:lpstr>
      <vt:lpstr>прил.1 к МП</vt:lpstr>
      <vt:lpstr>прил.2 к МП</vt:lpstr>
      <vt:lpstr>прил.3 к МП</vt:lpstr>
      <vt:lpstr>прил.1 к пасп.подпрог.1</vt:lpstr>
      <vt:lpstr>прил.2 к пасп. подпрог.1</vt:lpstr>
      <vt:lpstr>прил.1 к пасп.подпрог.2</vt:lpstr>
      <vt:lpstr>прил.2 к пасп.подпрог.2</vt:lpstr>
      <vt:lpstr>прил.1 к пасп.подпрог.3</vt:lpstr>
      <vt:lpstr>прил.2 к пасп.подпрог.3</vt:lpstr>
      <vt:lpstr>прил.1 к пасп.подпрог.4</vt:lpstr>
      <vt:lpstr>прил.2 к пасп.подпрог.4</vt:lpstr>
      <vt:lpstr>'прил.1 к пасп.МП'!Заголовки_для_печати</vt:lpstr>
      <vt:lpstr>'прил.1 к пасп.подпрог.1'!Заголовки_для_печати</vt:lpstr>
      <vt:lpstr>'прил.1 к пасп.подпрог.2'!Заголовки_для_печати</vt:lpstr>
      <vt:lpstr>'прил.2 к МП'!Заголовки_для_печати</vt:lpstr>
      <vt:lpstr>'прил.2 к пасп. подпрог.1'!Заголовки_для_печати</vt:lpstr>
      <vt:lpstr>'прил.2 к пасп.МП'!Заголовки_для_печати</vt:lpstr>
      <vt:lpstr>'прил.2 к пасп.подпрог.2'!Заголовки_для_печати</vt:lpstr>
      <vt:lpstr>'прил.2 к пасп.подпрог.3'!Заголовки_для_печати</vt:lpstr>
      <vt:lpstr>'прил.2 к пасп.подпрог.4'!Заголовки_для_печати</vt:lpstr>
      <vt:lpstr>'прил.3 к МП'!Заголовки_для_печати</vt:lpstr>
      <vt:lpstr>'прил.1 к пасп.МП'!Область_печати</vt:lpstr>
      <vt:lpstr>'прил.1 к пасп.подпрог.1'!Область_печати</vt:lpstr>
      <vt:lpstr>'прил.1 к пасп.подпрог.2'!Область_печати</vt:lpstr>
      <vt:lpstr>'прил.1 к пасп.подпрог.3'!Область_печати</vt:lpstr>
      <vt:lpstr>'прил.1 к пасп.подпрог.4'!Область_печати</vt:lpstr>
      <vt:lpstr>'прил.2 к МП'!Область_печати</vt:lpstr>
      <vt:lpstr>'прил.2 к пасп.МП'!Область_печати</vt:lpstr>
      <vt:lpstr>'прил.2 к пасп.подпрог.2'!Область_печати</vt:lpstr>
      <vt:lpstr>'прил.2 к пасп.подпрог.3'!Область_печати</vt:lpstr>
      <vt:lpstr>'прил.2 к пасп.подпрог.4'!Область_печати</vt:lpstr>
      <vt:lpstr>'прил.3 к МП'!Область_печати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direktor</dc:creator>
  <cp:lastModifiedBy>direktor</cp:lastModifiedBy>
  <dcterms:created xsi:type="dcterms:W3CDTF">2019-10-11T04:12:17Z</dcterms:created>
  <dcterms:modified xsi:type="dcterms:W3CDTF">2019-10-11T04:53:01Z</dcterms:modified>
</cp:coreProperties>
</file>