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30" firstSheet="8" activeTab="11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ог1" sheetId="6" r:id="rId6"/>
    <sheet name="Прил2 к пасп подпрог1" sheetId="7" r:id="rId7"/>
    <sheet name="Прил1 к пасп подпрог2" sheetId="8" r:id="rId8"/>
    <sheet name="Прил2 к пасп подпрог2" sheetId="9" r:id="rId9"/>
    <sheet name="Прил1 к пасп подпрог3" sheetId="10" r:id="rId10"/>
    <sheet name="Прил2 к пасп подпрог3" sheetId="11" r:id="rId11"/>
    <sheet name="Прил1 к пасп подпрог4" sheetId="12" r:id="rId12"/>
    <sheet name="Прил2 к пасп подпрог4" sheetId="13" r:id="rId13"/>
  </sheets>
  <definedNames>
    <definedName name="_xlnm._FilterDatabase" localSheetId="6" hidden="1">'Прил2 к пасп подпрог1'!$A$4:$U$51</definedName>
    <definedName name="_xlnm._FilterDatabase" localSheetId="8" hidden="1">'Прил2 к пасп подпрог2'!$A$1:$U$121</definedName>
    <definedName name="_xlnm._FilterDatabase" localSheetId="10" hidden="1">'Прил2 к пасп подпрог3'!$A$4:$S$35</definedName>
    <definedName name="Z_2166B299_1DBB_4BE8_98C9_E9EFB21DCA26_.wvu.FilterData" localSheetId="6" hidden="1">'Прил2 к пасп подпрог1'!$A$4:$U$51</definedName>
    <definedName name="Z_2166B299_1DBB_4BE8_98C9_E9EFB21DCA26_.wvu.FilterData" localSheetId="8" hidden="1">'Прил2 к пасп подпрог2'!$A$4:$U$121</definedName>
    <definedName name="Z_2166B299_1DBB_4BE8_98C9_E9EFB21DCA26_.wvu.FilterData" localSheetId="10" hidden="1">'Прил2 к пасп подпрог3'!$A$4:$S$35</definedName>
    <definedName name="Z_2715DACA_7FC2_4162_875B_92B3FB82D8B1_.wvu.FilterData" localSheetId="6" hidden="1">'Прил2 к пасп подпрог1'!$A$4:$U$51</definedName>
    <definedName name="Z_2715DACA_7FC2_4162_875B_92B3FB82D8B1_.wvu.FilterData" localSheetId="8" hidden="1">'Прил2 к пасп подпрог2'!$A$4:$U$121</definedName>
    <definedName name="Z_2715DACA_7FC2_4162_875B_92B3FB82D8B1_.wvu.FilterData" localSheetId="10" hidden="1">'Прил2 к пасп подпрог3'!$A$4:$S$35</definedName>
    <definedName name="Z_29BFB567_1C85_481C_A8AF_8210D8E0792F_.wvu.FilterData" localSheetId="6" hidden="1">'Прил2 к пасп подпрог1'!$A$4:$U$51</definedName>
    <definedName name="Z_29BFB567_1C85_481C_A8AF_8210D8E0792F_.wvu.FilterData" localSheetId="8" hidden="1">'Прил2 к пасп подпрог2'!$A$4:$U$121</definedName>
    <definedName name="Z_29BFB567_1C85_481C_A8AF_8210D8E0792F_.wvu.FilterData" localSheetId="10" hidden="1">'Прил2 к пасп подпрог3'!$A$4:$S$35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подпрог1'!$D:$D</definedName>
    <definedName name="Z_4767DD30_F6FB_4FF0_A429_8866A8232500_.wvu.Cols" localSheetId="7" hidden="1">'Прил1 к пасп подпрог2'!$D:$D</definedName>
    <definedName name="Z_4767DD30_F6FB_4FF0_A429_8866A8232500_.wvu.Cols" localSheetId="9" hidden="1">'Прил1 к пасп подпрог3'!$C:$C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подпрог1'!$A$4:$U$51</definedName>
    <definedName name="Z_4767DD30_F6FB_4FF0_A429_8866A8232500_.wvu.FilterData" localSheetId="8" hidden="1">'Прил2 к пасп подпрог2'!$A$4:$U$121</definedName>
    <definedName name="Z_4767DD30_F6FB_4FF0_A429_8866A8232500_.wvu.FilterData" localSheetId="10" hidden="1">'Прил2 к пасп подпрог3'!$A$4:$S$35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подпрог1'!$A$1:$J$13</definedName>
    <definedName name="Z_4767DD30_F6FB_4FF0_A429_8866A8232500_.wvu.PrintArea" localSheetId="7" hidden="1">'Прил1 к пасп подпрог2'!$A$1:$J$31</definedName>
    <definedName name="Z_4767DD30_F6FB_4FF0_A429_8866A8232500_.wvu.PrintArea" localSheetId="9" hidden="1">'Прил1 к пасп подпрог3'!$A$1:$H$5</definedName>
    <definedName name="Z_4767DD30_F6FB_4FF0_A429_8866A8232500_.wvu.PrintArea" localSheetId="11" hidden="1">'Прил1 к пасп подпрог4'!$A$1:$K$33</definedName>
    <definedName name="Z_4767DD30_F6FB_4FF0_A429_8866A8232500_.wvu.PrintArea" localSheetId="1" hidden="1">'Прил2 к МП'!$A$1:$M$32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подпрог1'!$A$1:$R$57</definedName>
    <definedName name="Z_4767DD30_F6FB_4FF0_A429_8866A8232500_.wvu.PrintArea" localSheetId="8" hidden="1">'Прил2 к пасп подпрог2'!$A$1:$R$118</definedName>
    <definedName name="Z_4767DD30_F6FB_4FF0_A429_8866A8232500_.wvu.PrintArea" localSheetId="10" hidden="1">'Прил2 к пасп подпрог3'!$A$1:$R$40</definedName>
    <definedName name="Z_4767DD30_F6FB_4FF0_A429_8866A8232500_.wvu.PrintArea" localSheetId="12" hidden="1">'Прил2 к пасп подпрог4'!$A$1:$R$53</definedName>
    <definedName name="Z_4767DD30_F6FB_4FF0_A429_8866A8232500_.wvu.PrintArea" localSheetId="2" hidden="1">'Прил3 к МП'!$A$1:$O$15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подпрог1'!$3:$5</definedName>
    <definedName name="Z_4767DD30_F6FB_4FF0_A429_8866A8232500_.wvu.PrintTitles" localSheetId="7" hidden="1">'Прил1 к пасп подпрог2'!$3:$5</definedName>
    <definedName name="Z_4767DD30_F6FB_4FF0_A429_8866A8232500_.wvu.PrintTitles" localSheetId="9" hidden="1">'Прил1 к пасп подпрог3'!#REF!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подпрог1'!$3:$4</definedName>
    <definedName name="Z_4767DD30_F6FB_4FF0_A429_8866A8232500_.wvu.PrintTitles" localSheetId="8" hidden="1">'Прил2 к пасп подпрог2'!$3:$4</definedName>
    <definedName name="Z_4767DD30_F6FB_4FF0_A429_8866A8232500_.wvu.PrintTitles" localSheetId="10" hidden="1">'Прил2 к пасп подпрог3'!$3:$4</definedName>
    <definedName name="Z_4767DD30_F6FB_4FF0_A429_8866A8232500_.wvu.PrintTitles" localSheetId="12" hidden="1">'Прил2 к пасп подпрог4'!$3:$4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</definedName>
    <definedName name="Z_4767DD30_F6FB_4FF0_A429_8866A8232500_.wvu.Rows" localSheetId="8" hidden="1">'Прил2 к пасп подпрог2'!#REF!,'Прил2 к пасп подпрог2'!#REF!,'Прил2 к пасп подпрог2'!#REF!,'Прил2 к пасп подпрог2'!$87:$87,'Прил2 к пасп подпрог2'!#REF!,'Прил2 к пасп подпрог2'!#REF!,'Прил2 к пасп подпрог2'!#REF!,'Прил2 к пасп подпрог2'!#REF!,'Прил2 к пасп подпрог2'!#REF!</definedName>
    <definedName name="Z_4767DD30_F6FB_4FF0_A429_8866A8232500_.wvu.Rows" localSheetId="10" hidden="1">'Прил2 к пасп подпрог3'!#REF!,'Прил2 к пасп подпрог3'!#REF!,'Прил2 к пасп подпрог3'!$6:$6,'Прил2 к пасп подпрог3'!#REF!,'Прил2 к пасп подпрог3'!#REF!,'Прил2 к пасп подпрог3'!#REF!,'Прил2 к пасп подпрог3'!#REF!,'Прил2 к пасп подпрог3'!#REF!,'Прил2 к пасп подпрог3'!#REF!</definedName>
    <definedName name="Z_4767DD30_F6FB_4FF0_A429_8866A8232500_.wvu.Rows" localSheetId="12" hidden="1">'Прил2 к пасп подпрог4'!#REF!,'Прил2 к пасп подпрог4'!#REF!</definedName>
    <definedName name="Z_484BD7FD_1D3D_4528_954E_A98D5B59AC9C_.wvu.FilterData" localSheetId="6" hidden="1">'Прил2 к пасп подпрог1'!$A$4:$U$51</definedName>
    <definedName name="Z_484BD7FD_1D3D_4528_954E_A98D5B59AC9C_.wvu.FilterData" localSheetId="8" hidden="1">'Прил2 к пасп подпрог2'!$A$4:$U$121</definedName>
    <definedName name="Z_484BD7FD_1D3D_4528_954E_A98D5B59AC9C_.wvu.FilterData" localSheetId="10" hidden="1">'Прил2 к пасп подпрог3'!$A$4:$S$35</definedName>
    <definedName name="Z_7C917F30_361A_4C86_9002_2134EAE2E3CF_.wvu.Cols" localSheetId="5" hidden="1">'Прил1 к пасп подпрог1'!$D:$D</definedName>
    <definedName name="Z_7C917F30_361A_4C86_9002_2134EAE2E3CF_.wvu.Cols" localSheetId="7" hidden="1">'Прил1 к пасп подпрог2'!$D:$D</definedName>
    <definedName name="Z_7C917F30_361A_4C86_9002_2134EAE2E3CF_.wvu.Cols" localSheetId="9" hidden="1">'Прил1 к пасп подпрог3'!$C:$C</definedName>
    <definedName name="Z_7C917F30_361A_4C86_9002_2134EAE2E3CF_.wvu.FilterData" localSheetId="6" hidden="1">'Прил2 к пасп подпрог1'!$A$4:$U$51</definedName>
    <definedName name="Z_7C917F30_361A_4C86_9002_2134EAE2E3CF_.wvu.FilterData" localSheetId="8" hidden="1">'Прил2 к пасп подпрог2'!$A$4:$U$121</definedName>
    <definedName name="Z_7C917F30_361A_4C86_9002_2134EAE2E3CF_.wvu.FilterData" localSheetId="10" hidden="1">'Прил2 к пасп подпрог3'!$A$4:$S$35</definedName>
    <definedName name="Z_7C917F30_361A_4C86_9002_2134EAE2E3CF_.wvu.PrintArea" localSheetId="5" hidden="1">'Прил1 к пасп подпрог1'!$A$1:$J$13</definedName>
    <definedName name="Z_7C917F30_361A_4C86_9002_2134EAE2E3CF_.wvu.PrintArea" localSheetId="7" hidden="1">'Прил1 к пасп подпрог2'!$A$1:$J$31</definedName>
    <definedName name="Z_7C917F30_361A_4C86_9002_2134EAE2E3CF_.wvu.PrintArea" localSheetId="9" hidden="1">'Прил1 к пасп подпрог3'!$A$1:$H$5</definedName>
    <definedName name="Z_7C917F30_361A_4C86_9002_2134EAE2E3CF_.wvu.PrintArea" localSheetId="11" hidden="1">'Прил1 к пасп подпрог4'!$A$1:$K$33</definedName>
    <definedName name="Z_7C917F30_361A_4C86_9002_2134EAE2E3CF_.wvu.PrintArea" localSheetId="1" hidden="1">'Прил2 к МП'!$A$1:$M$32</definedName>
    <definedName name="Z_7C917F30_361A_4C86_9002_2134EAE2E3CF_.wvu.PrintArea" localSheetId="6" hidden="1">'Прил2 к пасп подпрог1'!$A$1:$R$57</definedName>
    <definedName name="Z_7C917F30_361A_4C86_9002_2134EAE2E3CF_.wvu.PrintArea" localSheetId="8" hidden="1">'Прил2 к пасп подпрог2'!$A$1:$R$118</definedName>
    <definedName name="Z_7C917F30_361A_4C86_9002_2134EAE2E3CF_.wvu.PrintArea" localSheetId="10" hidden="1">'Прил2 к пасп подпрог3'!$A$1:$R$40</definedName>
    <definedName name="Z_7C917F30_361A_4C86_9002_2134EAE2E3CF_.wvu.PrintArea" localSheetId="2" hidden="1">'Прил3 к МП'!$A$1:$O$15</definedName>
    <definedName name="Z_7C917F30_361A_4C86_9002_2134EAE2E3CF_.wvu.PrintTitles" localSheetId="5" hidden="1">'Прил1 к пасп подпрог1'!$3:$5</definedName>
    <definedName name="Z_7C917F30_361A_4C86_9002_2134EAE2E3CF_.wvu.PrintTitles" localSheetId="7" hidden="1">'Прил1 к пасп подпрог2'!$3:$5</definedName>
    <definedName name="Z_7C917F30_361A_4C86_9002_2134EAE2E3CF_.wvu.PrintTitles" localSheetId="9" hidden="1">'Прил1 к пасп подпрог3'!#REF!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подпрог1'!$3:$4</definedName>
    <definedName name="Z_7C917F30_361A_4C86_9002_2134EAE2E3CF_.wvu.PrintTitles" localSheetId="8" hidden="1">'Прил2 к пасп подпрог2'!$3:$4</definedName>
    <definedName name="Z_7C917F30_361A_4C86_9002_2134EAE2E3CF_.wvu.PrintTitles" localSheetId="10" hidden="1">'Прил2 к пасп подпрог3'!$3:$4</definedName>
    <definedName name="Z_7C917F30_361A_4C86_9002_2134EAE2E3CF_.wvu.PrintTitles" localSheetId="12" hidden="1">'Прил2 к пасп подпрог4'!$3:$4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подпрог1'!#REF!,'Прил2 к пасп подпрог1'!#REF!</definedName>
    <definedName name="Z_7C917F30_361A_4C86_9002_2134EAE2E3CF_.wvu.Rows" localSheetId="8" hidden="1">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подпрог2'!#REF!,'Прил2 к пасп подпрог2'!#REF!</definedName>
    <definedName name="Z_7C917F30_361A_4C86_9002_2134EAE2E3CF_.wvu.Rows" localSheetId="10" hidden="1">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подпрог3'!#REF!,'Прил2 к пасп подпрог3'!#REF!</definedName>
    <definedName name="Z_7C917F30_361A_4C86_9002_2134EAE2E3CF_.wvu.Rows" localSheetId="12" hidden="1">'Прил2 к пасп подпрог4'!#REF!,'Прил2 к пасп подпрог4'!#REF!</definedName>
    <definedName name="Z_81F2AFB8_21DA_4513_90AB_0A09D7D72D56_.wvu.FilterData" localSheetId="6" hidden="1">'Прил2 к пасп подпрог1'!$A$4:$U$51</definedName>
    <definedName name="Z_81F2AFB8_21DA_4513_90AB_0A09D7D72D56_.wvu.FilterData" localSheetId="8" hidden="1">'Прил2 к пасп подпрог2'!$A$4:$U$121</definedName>
    <definedName name="Z_81F2AFB8_21DA_4513_90AB_0A09D7D72D56_.wvu.FilterData" localSheetId="10" hidden="1">'Прил2 к пасп подпрог3'!$A$4:$S$35</definedName>
    <definedName name="Z_AD6F79BD_847B_4421_A1AA_268A55FACAB4_.wvu.FilterData" localSheetId="6" hidden="1">'Прил2 к пасп подпрог1'!$A$4:$U$51</definedName>
    <definedName name="Z_AD6F79BD_847B_4421_A1AA_268A55FACAB4_.wvu.FilterData" localSheetId="8" hidden="1">'Прил2 к пасп подпрог2'!$A$4:$U$121</definedName>
    <definedName name="Z_AD6F79BD_847B_4421_A1AA_268A55FACAB4_.wvu.FilterData" localSheetId="10" hidden="1">'Прил2 к пасп подпрог3'!$A$4:$S$35</definedName>
    <definedName name="Z_B45C2115_52AF_4E7B_8578_551FB3CF371E_.wvu.FilterData" localSheetId="6" hidden="1">'Прил2 к пасп подпрог1'!$A$4:$U$51</definedName>
    <definedName name="Z_B45C2115_52AF_4E7B_8578_551FB3CF371E_.wvu.FilterData" localSheetId="8" hidden="1">'Прил2 к пасп подпрог2'!$A$4:$U$121</definedName>
    <definedName name="Z_B45C2115_52AF_4E7B_8578_551FB3CF371E_.wvu.FilterData" localSheetId="10" hidden="1">'Прил2 к пасп подпрог3'!$A$4:$S$35</definedName>
    <definedName name="Z_C75D4C66_EC35_48DB_8FCD_E29923CDB091_.wvu.FilterData" localSheetId="6" hidden="1">'Прил2 к пасп подпрог1'!$A$4:$U$51</definedName>
    <definedName name="Z_C75D4C66_EC35_48DB_8FCD_E29923CDB091_.wvu.FilterData" localSheetId="8" hidden="1">'Прил2 к пасп подпрог2'!$A$4:$U$121</definedName>
    <definedName name="Z_C75D4C66_EC35_48DB_8FCD_E29923CDB091_.wvu.FilterData" localSheetId="10" hidden="1">'Прил2 к пасп подпрог3'!$A$4:$S$35</definedName>
    <definedName name="Z_CDE1D6F6_68DF_42F8_B01A_FF6465B24CCD_.wvu.Cols" localSheetId="5" hidden="1">'Прил1 к пасп подпрог1'!$D:$D</definedName>
    <definedName name="Z_CDE1D6F6_68DF_42F8_B01A_FF6465B24CCD_.wvu.Cols" localSheetId="7" hidden="1">'Прил1 к пасп подпрог2'!$D:$D</definedName>
    <definedName name="Z_CDE1D6F6_68DF_42F8_B01A_FF6465B24CCD_.wvu.Cols" localSheetId="9" hidden="1">'Прил1 к пасп подпрог3'!$C:$C</definedName>
    <definedName name="Z_CDE1D6F6_68DF_42F8_B01A_FF6465B24CCD_.wvu.FilterData" localSheetId="6" hidden="1">'Прил2 к пасп подпрог1'!$A$4:$U$51</definedName>
    <definedName name="Z_CDE1D6F6_68DF_42F8_B01A_FF6465B24CCD_.wvu.FilterData" localSheetId="8" hidden="1">'Прил2 к пасп подпрог2'!$A$4:$U$121</definedName>
    <definedName name="Z_CDE1D6F6_68DF_42F8_B01A_FF6465B24CCD_.wvu.FilterData" localSheetId="10" hidden="1">'Прил2 к пасп подпрог3'!$A$4:$S$35</definedName>
    <definedName name="Z_CDE1D6F6_68DF_42F8_B01A_FF6465B24CCD_.wvu.PrintArea" localSheetId="5" hidden="1">'Прил1 к пасп подпрог1'!$A$1:$J$13</definedName>
    <definedName name="Z_CDE1D6F6_68DF_42F8_B01A_FF6465B24CCD_.wvu.PrintArea" localSheetId="7" hidden="1">'Прил1 к пасп подпрог2'!$A$1:$J$31</definedName>
    <definedName name="Z_CDE1D6F6_68DF_42F8_B01A_FF6465B24CCD_.wvu.PrintArea" localSheetId="9" hidden="1">'Прил1 к пасп подпрог3'!$A$1:$H$5</definedName>
    <definedName name="Z_CDE1D6F6_68DF_42F8_B01A_FF6465B24CCD_.wvu.PrintArea" localSheetId="11" hidden="1">'Прил1 к пасп подпрог4'!$A$1:$K$33</definedName>
    <definedName name="Z_CDE1D6F6_68DF_42F8_B01A_FF6465B24CCD_.wvu.PrintArea" localSheetId="1" hidden="1">'Прил2 к МП'!$A$1:$M$32</definedName>
    <definedName name="Z_CDE1D6F6_68DF_42F8_B01A_FF6465B24CCD_.wvu.PrintArea" localSheetId="6" hidden="1">'Прил2 к пасп подпрог1'!$A$1:$R$57</definedName>
    <definedName name="Z_CDE1D6F6_68DF_42F8_B01A_FF6465B24CCD_.wvu.PrintArea" localSheetId="8" hidden="1">'Прил2 к пасп подпрог2'!$A$1:$R$118</definedName>
    <definedName name="Z_CDE1D6F6_68DF_42F8_B01A_FF6465B24CCD_.wvu.PrintArea" localSheetId="10" hidden="1">'Прил2 к пасп подпрог3'!$A$1:$R$40</definedName>
    <definedName name="Z_CDE1D6F6_68DF_42F8_B01A_FF6465B24CCD_.wvu.PrintArea" localSheetId="12" hidden="1">'Прил2 к пасп подпрог4'!$A$1:$R$53</definedName>
    <definedName name="Z_CDE1D6F6_68DF_42F8_B01A_FF6465B24CCD_.wvu.PrintArea" localSheetId="2" hidden="1">'Прил3 к МП'!$A$1:$O$15</definedName>
    <definedName name="Z_CDE1D6F6_68DF_42F8_B01A_FF6465B24CCD_.wvu.PrintTitles" localSheetId="5" hidden="1">'Прил1 к пасп подпрог1'!$3:$5</definedName>
    <definedName name="Z_CDE1D6F6_68DF_42F8_B01A_FF6465B24CCD_.wvu.PrintTitles" localSheetId="7" hidden="1">'Прил1 к пасп подпрог2'!$3:$5</definedName>
    <definedName name="Z_CDE1D6F6_68DF_42F8_B01A_FF6465B24CCD_.wvu.PrintTitles" localSheetId="9" hidden="1">'Прил1 к пасп подпрог3'!#REF!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подпрог1'!$3:$4</definedName>
    <definedName name="Z_CDE1D6F6_68DF_42F8_B01A_FF6465B24CCD_.wvu.PrintTitles" localSheetId="8" hidden="1">'Прил2 к пасп подпрог2'!$3:$4</definedName>
    <definedName name="Z_CDE1D6F6_68DF_42F8_B01A_FF6465B24CCD_.wvu.PrintTitles" localSheetId="10" hidden="1">'Прил2 к пасп подпрог3'!$3:$4</definedName>
    <definedName name="Z_CDE1D6F6_68DF_42F8_B01A_FF6465B24CCD_.wvu.PrintTitles" localSheetId="12" hidden="1">'Прил2 к пасп подпрог4'!$3:$4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подпрог4'!#REF!,'Прил2 к пасп подпрог4'!#REF!</definedName>
    <definedName name="Z_D97B14A5_4ECD_4EB7_B8A7_D41E462F19A2_.wvu.FilterData" localSheetId="6" hidden="1">'Прил2 к пасп подпрог1'!$A$4:$U$51</definedName>
    <definedName name="Z_D97B14A5_4ECD_4EB7_B8A7_D41E462F19A2_.wvu.FilterData" localSheetId="8" hidden="1">'Прил2 к пасп подпрог2'!$A$4:$U$121</definedName>
    <definedName name="Z_D97B14A5_4ECD_4EB7_B8A7_D41E462F19A2_.wvu.FilterData" localSheetId="10" hidden="1">'Прил2 к пасп подпрог3'!$A$4:$S$35</definedName>
    <definedName name="Z_FAC3C627_8E23_41AB_B3FB_95B33614D8DB_.wvu.FilterData" localSheetId="6" hidden="1">'Прил2 к пасп подпрог1'!$A$4:$U$51</definedName>
    <definedName name="Z_FAC3C627_8E23_41AB_B3FB_95B33614D8DB_.wvu.FilterData" localSheetId="8" hidden="1">'Прил2 к пасп подпрог2'!$A$4:$U$121</definedName>
    <definedName name="Z_FAC3C627_8E23_41AB_B3FB_95B33614D8DB_.wvu.FilterData" localSheetId="10" hidden="1">'Прил2 к пасп подпрог3'!$A$4:$S$35</definedName>
    <definedName name="_xlnm.Print_Titles" localSheetId="3">'Прил1 к пасп МП'!$3:$5</definedName>
    <definedName name="_xlnm.Print_Titles" localSheetId="5">'Прил1 к пасп подпрог1'!$3:$5</definedName>
    <definedName name="_xlnm.Print_Titles" localSheetId="7">'Прил1 к пасп подпрог2'!$3:$5</definedName>
    <definedName name="_xlnm.Print_Titles" localSheetId="9">'Прил1 к пасп подпрог3'!#REF!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подпрог1'!$3:$4</definedName>
    <definedName name="_xlnm.Print_Titles" localSheetId="8">'Прил2 к пасп подпрог2'!$3:$4</definedName>
    <definedName name="_xlnm.Print_Titles" localSheetId="10">'Прил2 к пасп подпрог3'!$3:$4</definedName>
    <definedName name="_xlnm.Print_Titles" localSheetId="12">'Прил2 к пасп подпрог4'!$3:$4</definedName>
    <definedName name="_xlnm.Print_Titles" localSheetId="2">'Прил3 к МП'!$3:$4</definedName>
    <definedName name="_xlnm.Print_Area" localSheetId="3">'Прил1 к пасп МП'!$A$1:$O$76</definedName>
    <definedName name="_xlnm.Print_Area" localSheetId="5">'Прил1 к пасп подпрог1'!$A$1:$M$13</definedName>
    <definedName name="_xlnm.Print_Area" localSheetId="7">'Прил1 к пасп подпрог2'!$A$1:$M$31</definedName>
    <definedName name="_xlnm.Print_Area" localSheetId="9">'Прил1 к пасп подпрог3'!$A$1:$N$14</definedName>
    <definedName name="_xlnm.Print_Area" localSheetId="11">'Прил1 к пасп подпрог4'!$A$1:$M$29</definedName>
    <definedName name="_xlnm.Print_Area" localSheetId="1">'Прил2 к МП'!$A$1:$M$32</definedName>
    <definedName name="_xlnm.Print_Area" localSheetId="4">'Прил2 к пасп МП'!$A$1:$Q$10</definedName>
    <definedName name="_xlnm.Print_Area" localSheetId="8">'Прил2 к пасп подпрог2'!$A$1:$R$118</definedName>
    <definedName name="_xlnm.Print_Area" localSheetId="10">'Прил2 к пасп подпрог3'!$A$1:$R$40</definedName>
    <definedName name="_xlnm.Print_Area" localSheetId="12">'Прил2 к пасп подпрог4'!$A$1:$R$53</definedName>
    <definedName name="_xlnm.Print_Area" localSheetId="2">'Прил3 к МП'!$A$1:$Q$36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9" i="13" l="1"/>
  <c r="O51" i="13" s="1"/>
  <c r="N49" i="13"/>
  <c r="N51" i="13" s="1"/>
  <c r="M49" i="13"/>
  <c r="M51" i="13" s="1"/>
  <c r="L49" i="13"/>
  <c r="L51" i="13" s="1"/>
  <c r="J49" i="13"/>
  <c r="J51" i="13" s="1"/>
  <c r="I49" i="13"/>
  <c r="I51" i="13" s="1"/>
  <c r="H49" i="13"/>
  <c r="K48" i="13"/>
  <c r="K49" i="13" s="1"/>
  <c r="K51" i="13" s="1"/>
  <c r="P47" i="13"/>
  <c r="P49" i="13" s="1"/>
  <c r="P46" i="13"/>
  <c r="Q46" i="13" s="1"/>
  <c r="Q45" i="13"/>
  <c r="Q44" i="13"/>
  <c r="Q43" i="13"/>
  <c r="O40" i="13"/>
  <c r="P40" i="13" s="1"/>
  <c r="Q40" i="13" s="1"/>
  <c r="O39" i="13"/>
  <c r="P39" i="13" s="1"/>
  <c r="Q39" i="13" s="1"/>
  <c r="Q38" i="13"/>
  <c r="P38" i="13"/>
  <c r="O37" i="13"/>
  <c r="P37" i="13" s="1"/>
  <c r="Q37" i="13" s="1"/>
  <c r="Q36" i="13"/>
  <c r="Q35" i="13"/>
  <c r="Q34" i="13"/>
  <c r="O33" i="13"/>
  <c r="P32" i="13"/>
  <c r="Q32" i="13" s="1"/>
  <c r="P31" i="13"/>
  <c r="Q31" i="13" s="1"/>
  <c r="P30" i="13"/>
  <c r="Q30" i="13" s="1"/>
  <c r="P29" i="13"/>
  <c r="Q29" i="13" s="1"/>
  <c r="Q28" i="13"/>
  <c r="Q27" i="13"/>
  <c r="P26" i="13"/>
  <c r="P25" i="13"/>
  <c r="Q25" i="13" s="1"/>
  <c r="Q24" i="13"/>
  <c r="N23" i="13"/>
  <c r="M23" i="13"/>
  <c r="Q23" i="13" s="1"/>
  <c r="O22" i="13"/>
  <c r="N22" i="13"/>
  <c r="M22" i="13"/>
  <c r="M41" i="13" s="1"/>
  <c r="M50" i="13" s="1"/>
  <c r="M52" i="13" s="1"/>
  <c r="K22" i="13"/>
  <c r="J22" i="13"/>
  <c r="J41" i="13" s="1"/>
  <c r="I22" i="13"/>
  <c r="I41" i="13" s="1"/>
  <c r="H22" i="13"/>
  <c r="H41" i="13" s="1"/>
  <c r="N21" i="13"/>
  <c r="Q21" i="13" s="1"/>
  <c r="P20" i="13"/>
  <c r="Q20" i="13" s="1"/>
  <c r="Q19" i="13"/>
  <c r="Q18" i="13"/>
  <c r="Q17" i="13"/>
  <c r="P16" i="13"/>
  <c r="L16" i="13"/>
  <c r="Q16" i="13" s="1"/>
  <c r="P15" i="13"/>
  <c r="Q15" i="13" s="1"/>
  <c r="P14" i="13"/>
  <c r="P22" i="13" s="1"/>
  <c r="L14" i="13"/>
  <c r="Q14" i="13" s="1"/>
  <c r="P13" i="13"/>
  <c r="Q13" i="13" s="1"/>
  <c r="P12" i="13"/>
  <c r="Q12" i="13" s="1"/>
  <c r="P11" i="13"/>
  <c r="Q11" i="13" s="1"/>
  <c r="P10" i="13"/>
  <c r="Q10" i="13" s="1"/>
  <c r="Q9" i="13"/>
  <c r="N8" i="13"/>
  <c r="N41" i="13" s="1"/>
  <c r="N50" i="13" s="1"/>
  <c r="N52" i="13" s="1"/>
  <c r="K8" i="13"/>
  <c r="K41" i="13" s="1"/>
  <c r="K52" i="13" s="1"/>
  <c r="Q7" i="13"/>
  <c r="O38" i="11"/>
  <c r="P38" i="11" s="1"/>
  <c r="N38" i="11"/>
  <c r="L38" i="11"/>
  <c r="K38" i="11"/>
  <c r="J38" i="11"/>
  <c r="I38" i="11"/>
  <c r="H38" i="11"/>
  <c r="M37" i="11"/>
  <c r="L37" i="11"/>
  <c r="K37" i="11"/>
  <c r="J37" i="11"/>
  <c r="I37" i="11"/>
  <c r="O36" i="11"/>
  <c r="P36" i="11" s="1"/>
  <c r="N36" i="11"/>
  <c r="M36" i="11"/>
  <c r="L36" i="11"/>
  <c r="J36" i="11"/>
  <c r="I36" i="11"/>
  <c r="H36" i="11"/>
  <c r="P34" i="11"/>
  <c r="N34" i="11"/>
  <c r="M34" i="11"/>
  <c r="L34" i="11"/>
  <c r="K34" i="11"/>
  <c r="J34" i="11"/>
  <c r="I34" i="11"/>
  <c r="H34" i="11"/>
  <c r="P33" i="11"/>
  <c r="Q33" i="11" s="1"/>
  <c r="P32" i="11"/>
  <c r="Q32" i="11" s="1"/>
  <c r="P31" i="11"/>
  <c r="Q31" i="11" s="1"/>
  <c r="Q30" i="11"/>
  <c r="P30" i="11"/>
  <c r="Q29" i="11"/>
  <c r="P29" i="11"/>
  <c r="Q28" i="11"/>
  <c r="P28" i="11"/>
  <c r="Q27" i="11"/>
  <c r="P27" i="11"/>
  <c r="Q26" i="11"/>
  <c r="P26" i="11"/>
  <c r="Q25" i="11"/>
  <c r="P25" i="11"/>
  <c r="L23" i="11"/>
  <c r="L35" i="11" s="1"/>
  <c r="J23" i="11"/>
  <c r="J35" i="11" s="1"/>
  <c r="I23" i="11"/>
  <c r="I35" i="11" s="1"/>
  <c r="Q22" i="11"/>
  <c r="P22" i="11"/>
  <c r="Q21" i="11"/>
  <c r="N21" i="11"/>
  <c r="Q20" i="11"/>
  <c r="P19" i="11"/>
  <c r="Q19" i="11" s="1"/>
  <c r="M18" i="11"/>
  <c r="M38" i="11" s="1"/>
  <c r="Q17" i="11"/>
  <c r="P16" i="11"/>
  <c r="O16" i="11"/>
  <c r="O37" i="11" s="1"/>
  <c r="P37" i="11" s="1"/>
  <c r="N16" i="11"/>
  <c r="N37" i="11" s="1"/>
  <c r="Q15" i="11"/>
  <c r="P15" i="11"/>
  <c r="P14" i="11"/>
  <c r="K14" i="11"/>
  <c r="K23" i="11" s="1"/>
  <c r="K35" i="11" s="1"/>
  <c r="P13" i="11"/>
  <c r="Q13" i="11" s="1"/>
  <c r="P12" i="11"/>
  <c r="H12" i="11"/>
  <c r="H23" i="11" s="1"/>
  <c r="P11" i="11"/>
  <c r="Q11" i="11" s="1"/>
  <c r="Q10" i="11"/>
  <c r="P9" i="11"/>
  <c r="Q9" i="11" s="1"/>
  <c r="Q8" i="11"/>
  <c r="Q6" i="11"/>
  <c r="K117" i="9"/>
  <c r="J117" i="9"/>
  <c r="I117" i="9"/>
  <c r="O116" i="9"/>
  <c r="N116" i="9"/>
  <c r="M116" i="9"/>
  <c r="O115" i="9"/>
  <c r="J115" i="9"/>
  <c r="I115" i="9"/>
  <c r="H115" i="9"/>
  <c r="O113" i="9"/>
  <c r="N113" i="9"/>
  <c r="M113" i="9"/>
  <c r="K113" i="9"/>
  <c r="I113" i="9"/>
  <c r="P112" i="9"/>
  <c r="Q112" i="9" s="1"/>
  <c r="P111" i="9"/>
  <c r="Q111" i="9" s="1"/>
  <c r="P110" i="9"/>
  <c r="Q110" i="9" s="1"/>
  <c r="P109" i="9"/>
  <c r="Q109" i="9" s="1"/>
  <c r="P108" i="9"/>
  <c r="Q108" i="9" s="1"/>
  <c r="P107" i="9"/>
  <c r="Q107" i="9" s="1"/>
  <c r="P106" i="9"/>
  <c r="Q106" i="9" s="1"/>
  <c r="P105" i="9"/>
  <c r="Q105" i="9" s="1"/>
  <c r="P104" i="9"/>
  <c r="Q104" i="9" s="1"/>
  <c r="L103" i="9"/>
  <c r="L113" i="9" s="1"/>
  <c r="H103" i="9"/>
  <c r="Q102" i="9"/>
  <c r="Q101" i="9"/>
  <c r="P100" i="9"/>
  <c r="Q100" i="9" s="1"/>
  <c r="P99" i="9"/>
  <c r="Q99" i="9" s="1"/>
  <c r="P98" i="9"/>
  <c r="Q98" i="9" s="1"/>
  <c r="Q97" i="9"/>
  <c r="P97" i="9"/>
  <c r="P96" i="9"/>
  <c r="Q96" i="9" s="1"/>
  <c r="Q95" i="9"/>
  <c r="P94" i="9"/>
  <c r="Q94" i="9" s="1"/>
  <c r="P93" i="9"/>
  <c r="J93" i="9"/>
  <c r="J116" i="9" s="1"/>
  <c r="Q92" i="9"/>
  <c r="M90" i="9"/>
  <c r="J90" i="9"/>
  <c r="P89" i="9"/>
  <c r="Q89" i="9" s="1"/>
  <c r="P88" i="9"/>
  <c r="Q88" i="9" s="1"/>
  <c r="P87" i="9"/>
  <c r="Q87" i="9" s="1"/>
  <c r="P86" i="9"/>
  <c r="Q86" i="9" s="1"/>
  <c r="P85" i="9"/>
  <c r="Q85" i="9" s="1"/>
  <c r="P84" i="9"/>
  <c r="Q84" i="9" s="1"/>
  <c r="P83" i="9"/>
  <c r="O83" i="9"/>
  <c r="O90" i="9" s="1"/>
  <c r="N83" i="9"/>
  <c r="N117" i="9" s="1"/>
  <c r="M83" i="9"/>
  <c r="M117" i="9" s="1"/>
  <c r="L83" i="9"/>
  <c r="Q83" i="9" s="1"/>
  <c r="P82" i="9"/>
  <c r="Q82" i="9" s="1"/>
  <c r="P81" i="9"/>
  <c r="Q81" i="9" s="1"/>
  <c r="P80" i="9"/>
  <c r="Q80" i="9" s="1"/>
  <c r="Q79" i="9"/>
  <c r="Q78" i="9"/>
  <c r="P77" i="9"/>
  <c r="Q77" i="9" s="1"/>
  <c r="P76" i="9"/>
  <c r="Q76" i="9" s="1"/>
  <c r="Q75" i="9"/>
  <c r="Q74" i="9"/>
  <c r="Q73" i="9"/>
  <c r="Q72" i="9"/>
  <c r="L71" i="9"/>
  <c r="Q71" i="9" s="1"/>
  <c r="P70" i="9"/>
  <c r="Q70" i="9" s="1"/>
  <c r="P69" i="9"/>
  <c r="Q69" i="9" s="1"/>
  <c r="Q68" i="9"/>
  <c r="Q67" i="9"/>
  <c r="Q66" i="9"/>
  <c r="Q65" i="9"/>
  <c r="Q64" i="9"/>
  <c r="Q63" i="9"/>
  <c r="Q62" i="9"/>
  <c r="M61" i="9"/>
  <c r="K61" i="9"/>
  <c r="Q61" i="9" s="1"/>
  <c r="P60" i="9"/>
  <c r="Q60" i="9" s="1"/>
  <c r="Q59" i="9"/>
  <c r="P59" i="9"/>
  <c r="P58" i="9"/>
  <c r="Q58" i="9" s="1"/>
  <c r="P57" i="9"/>
  <c r="Q57" i="9" s="1"/>
  <c r="P56" i="9"/>
  <c r="Q56" i="9" s="1"/>
  <c r="Q55" i="9"/>
  <c r="P55" i="9"/>
  <c r="P54" i="9"/>
  <c r="Q54" i="9" s="1"/>
  <c r="Q53" i="9"/>
  <c r="Q52" i="9"/>
  <c r="K51" i="9"/>
  <c r="Q50" i="9"/>
  <c r="P49" i="9"/>
  <c r="Q49" i="9" s="1"/>
  <c r="Q48" i="9"/>
  <c r="P47" i="9"/>
  <c r="Q47" i="9" s="1"/>
  <c r="Q46" i="9"/>
  <c r="L45" i="9"/>
  <c r="L116" i="9" s="1"/>
  <c r="I45" i="9"/>
  <c r="I116" i="9" s="1"/>
  <c r="H45" i="9"/>
  <c r="H116" i="9" s="1"/>
  <c r="Q44" i="9"/>
  <c r="O42" i="9"/>
  <c r="J42" i="9"/>
  <c r="I42" i="9"/>
  <c r="H42" i="9"/>
  <c r="Q39" i="9"/>
  <c r="Q38" i="9"/>
  <c r="N37" i="9"/>
  <c r="Q37" i="9" s="1"/>
  <c r="Q36" i="9"/>
  <c r="Q35" i="9"/>
  <c r="Q34" i="9"/>
  <c r="Q33" i="9"/>
  <c r="Q32" i="9"/>
  <c r="Q31" i="9"/>
  <c r="Q30" i="9"/>
  <c r="Q29" i="9"/>
  <c r="P28" i="9"/>
  <c r="Q28" i="9" s="1"/>
  <c r="P27" i="9"/>
  <c r="K27" i="9"/>
  <c r="P26" i="9"/>
  <c r="L26" i="9"/>
  <c r="L115" i="9" s="1"/>
  <c r="K26" i="9"/>
  <c r="Q25" i="9"/>
  <c r="P25" i="9"/>
  <c r="P24" i="9"/>
  <c r="Q24" i="9" s="1"/>
  <c r="P23" i="9"/>
  <c r="Q23" i="9" s="1"/>
  <c r="P22" i="9"/>
  <c r="Q22" i="9" s="1"/>
  <c r="Q21" i="9"/>
  <c r="Q20" i="9"/>
  <c r="P19" i="9"/>
  <c r="Q19" i="9" s="1"/>
  <c r="P18" i="9"/>
  <c r="Q18" i="9" s="1"/>
  <c r="P17" i="9"/>
  <c r="Q17" i="9" s="1"/>
  <c r="Q16" i="9"/>
  <c r="P16" i="9"/>
  <c r="P15" i="9"/>
  <c r="M15" i="9"/>
  <c r="M42" i="9" s="1"/>
  <c r="Q14" i="9"/>
  <c r="P13" i="9"/>
  <c r="Q13" i="9" s="1"/>
  <c r="Q12" i="9"/>
  <c r="Q11" i="9"/>
  <c r="P10" i="9"/>
  <c r="Q10" i="9" s="1"/>
  <c r="P9" i="9"/>
  <c r="K9" i="9"/>
  <c r="K116" i="9" s="1"/>
  <c r="P8" i="9"/>
  <c r="Q8" i="9" s="1"/>
  <c r="P7" i="9"/>
  <c r="K7" i="9"/>
  <c r="Q7" i="9" s="1"/>
  <c r="O54" i="7"/>
  <c r="P54" i="7" s="1"/>
  <c r="N54" i="7"/>
  <c r="M54" i="7"/>
  <c r="L54" i="7"/>
  <c r="K54" i="7"/>
  <c r="J54" i="7"/>
  <c r="I54" i="7"/>
  <c r="H54" i="7"/>
  <c r="Q54" i="7" s="1"/>
  <c r="O53" i="7"/>
  <c r="P53" i="7" s="1"/>
  <c r="N53" i="7"/>
  <c r="M53" i="7"/>
  <c r="L53" i="7"/>
  <c r="K53" i="7"/>
  <c r="J53" i="7"/>
  <c r="I53" i="7"/>
  <c r="H53" i="7"/>
  <c r="O52" i="7"/>
  <c r="P52" i="7" s="1"/>
  <c r="N52" i="7"/>
  <c r="M52" i="7"/>
  <c r="K52" i="7"/>
  <c r="J52" i="7"/>
  <c r="I52" i="7"/>
  <c r="H52" i="7"/>
  <c r="I51" i="7"/>
  <c r="O50" i="7"/>
  <c r="O51" i="7" s="1"/>
  <c r="P51" i="7" s="1"/>
  <c r="N50" i="7"/>
  <c r="N51" i="7" s="1"/>
  <c r="M50" i="7"/>
  <c r="M51" i="7" s="1"/>
  <c r="K50" i="7"/>
  <c r="K51" i="7" s="1"/>
  <c r="J50" i="7"/>
  <c r="J51" i="7" s="1"/>
  <c r="I50" i="7"/>
  <c r="H50" i="7"/>
  <c r="H51" i="7" s="1"/>
  <c r="P49" i="7"/>
  <c r="Q49" i="7" s="1"/>
  <c r="P48" i="7"/>
  <c r="Q48" i="7" s="1"/>
  <c r="P47" i="7"/>
  <c r="Q47" i="7" s="1"/>
  <c r="P46" i="7"/>
  <c r="Q46" i="7" s="1"/>
  <c r="P45" i="7"/>
  <c r="Q45" i="7" s="1"/>
  <c r="Q44" i="7"/>
  <c r="P44" i="7"/>
  <c r="P43" i="7"/>
  <c r="Q43" i="7" s="1"/>
  <c r="Q42" i="7"/>
  <c r="Q41" i="7"/>
  <c r="P40" i="7"/>
  <c r="Q40" i="7" s="1"/>
  <c r="L39" i="7"/>
  <c r="Q39" i="7" s="1"/>
  <c r="P38" i="7"/>
  <c r="Q38" i="7" s="1"/>
  <c r="Q37" i="7"/>
  <c r="P37" i="7"/>
  <c r="P36" i="7"/>
  <c r="Q36" i="7" s="1"/>
  <c r="P35" i="7"/>
  <c r="Q35" i="7" s="1"/>
  <c r="P34" i="7"/>
  <c r="Q34" i="7" s="1"/>
  <c r="Q33" i="7"/>
  <c r="P32" i="7"/>
  <c r="Q32" i="7" s="1"/>
  <c r="Q31" i="7"/>
  <c r="P31" i="7"/>
  <c r="P30" i="7"/>
  <c r="Q30" i="7" s="1"/>
  <c r="P29" i="7"/>
  <c r="Q29" i="7" s="1"/>
  <c r="P28" i="7"/>
  <c r="Q28" i="7" s="1"/>
  <c r="Q27" i="7"/>
  <c r="P27" i="7"/>
  <c r="Q26" i="7"/>
  <c r="Q25" i="7"/>
  <c r="Q24" i="7"/>
  <c r="Q23" i="7"/>
  <c r="P22" i="7"/>
  <c r="Q22" i="7" s="1"/>
  <c r="P21" i="7"/>
  <c r="Q21" i="7" s="1"/>
  <c r="Q20" i="7"/>
  <c r="Q19" i="7"/>
  <c r="Q18" i="7"/>
  <c r="P17" i="7"/>
  <c r="Q17" i="7" s="1"/>
  <c r="P16" i="7"/>
  <c r="Q16" i="7" s="1"/>
  <c r="P15" i="7"/>
  <c r="Q15" i="7" s="1"/>
  <c r="P14" i="7"/>
  <c r="Q14" i="7" s="1"/>
  <c r="Q13" i="7"/>
  <c r="Q12" i="7"/>
  <c r="Q11" i="7"/>
  <c r="P10" i="7"/>
  <c r="Q10" i="7" s="1"/>
  <c r="Q9" i="7"/>
  <c r="Q8" i="7"/>
  <c r="P7" i="7"/>
  <c r="Q7" i="7" s="1"/>
  <c r="D7" i="5"/>
  <c r="M55" i="4"/>
  <c r="N55" i="4" s="1"/>
  <c r="O55" i="4" s="1"/>
  <c r="N54" i="4"/>
  <c r="O54" i="4" s="1"/>
  <c r="N53" i="4"/>
  <c r="O53" i="4" s="1"/>
  <c r="Q32" i="3"/>
  <c r="P32" i="3"/>
  <c r="O32" i="3"/>
  <c r="N32" i="3"/>
  <c r="M32" i="3"/>
  <c r="L32" i="3"/>
  <c r="Q28" i="3"/>
  <c r="O20" i="3"/>
  <c r="P20" i="3" s="1"/>
  <c r="Q20" i="3" s="1"/>
  <c r="M20" i="3"/>
  <c r="L20" i="3"/>
  <c r="N19" i="3"/>
  <c r="O19" i="3" s="1"/>
  <c r="P19" i="3" s="1"/>
  <c r="M19" i="3"/>
  <c r="L19" i="3"/>
  <c r="O16" i="3"/>
  <c r="P16" i="3" s="1"/>
  <c r="Q16" i="3" s="1"/>
  <c r="N16" i="3"/>
  <c r="M16" i="3"/>
  <c r="O12" i="3"/>
  <c r="P12" i="3" s="1"/>
  <c r="Q12" i="3" s="1"/>
  <c r="N12" i="3"/>
  <c r="M12" i="3"/>
  <c r="L8" i="3"/>
  <c r="M31" i="2"/>
  <c r="L31" i="2"/>
  <c r="L30" i="2"/>
  <c r="M30" i="2" s="1"/>
  <c r="M29" i="2"/>
  <c r="L28" i="2"/>
  <c r="L27" i="2" s="1"/>
  <c r="K27" i="2"/>
  <c r="J27" i="2"/>
  <c r="I27" i="2"/>
  <c r="H27" i="2"/>
  <c r="G27" i="2"/>
  <c r="F27" i="2"/>
  <c r="E27" i="2"/>
  <c r="D27" i="2"/>
  <c r="M26" i="2"/>
  <c r="L25" i="2"/>
  <c r="L9" i="2" s="1"/>
  <c r="K25" i="2"/>
  <c r="J25" i="2"/>
  <c r="M25" i="2" s="1"/>
  <c r="M24" i="2"/>
  <c r="M23" i="2"/>
  <c r="L23" i="2"/>
  <c r="K22" i="2"/>
  <c r="L22" i="2" s="1"/>
  <c r="I22" i="2"/>
  <c r="H22" i="2"/>
  <c r="G22" i="2"/>
  <c r="F22" i="2"/>
  <c r="E22" i="2"/>
  <c r="D22" i="2"/>
  <c r="M21" i="2"/>
  <c r="M20" i="2"/>
  <c r="L18" i="2"/>
  <c r="L19" i="2" s="1"/>
  <c r="K18" i="2"/>
  <c r="M18" i="2" s="1"/>
  <c r="M7" i="2" s="1"/>
  <c r="L17" i="2"/>
  <c r="M17" i="2" s="1"/>
  <c r="J16" i="2"/>
  <c r="I16" i="2"/>
  <c r="H16" i="2"/>
  <c r="G16" i="2"/>
  <c r="F16" i="2"/>
  <c r="E16" i="2"/>
  <c r="D16" i="2"/>
  <c r="M15" i="2"/>
  <c r="M14" i="2"/>
  <c r="M13" i="2"/>
  <c r="L12" i="2"/>
  <c r="M12" i="2" s="1"/>
  <c r="K11" i="2"/>
  <c r="L11" i="2" s="1"/>
  <c r="J11" i="2"/>
  <c r="I11" i="2"/>
  <c r="H11" i="2"/>
  <c r="G11" i="2"/>
  <c r="F11" i="2"/>
  <c r="E11" i="2"/>
  <c r="D11" i="2"/>
  <c r="L10" i="2"/>
  <c r="K10" i="2"/>
  <c r="J10" i="2"/>
  <c r="I10" i="2"/>
  <c r="H10" i="2"/>
  <c r="G10" i="2"/>
  <c r="F10" i="2"/>
  <c r="E10" i="2"/>
  <c r="D10" i="2"/>
  <c r="M10" i="2" s="1"/>
  <c r="K9" i="2"/>
  <c r="J9" i="2"/>
  <c r="J5" i="2" s="1"/>
  <c r="I9" i="2"/>
  <c r="H9" i="2"/>
  <c r="G9" i="2"/>
  <c r="F9" i="2"/>
  <c r="E9" i="2"/>
  <c r="D9" i="2"/>
  <c r="J8" i="2"/>
  <c r="I8" i="2"/>
  <c r="H8" i="2"/>
  <c r="G8" i="2"/>
  <c r="G5" i="2" s="1"/>
  <c r="F8" i="2"/>
  <c r="E8" i="2"/>
  <c r="E5" i="2" s="1"/>
  <c r="D8" i="2"/>
  <c r="L7" i="2"/>
  <c r="J7" i="2"/>
  <c r="I5" i="2"/>
  <c r="F5" i="2"/>
  <c r="P26" i="1"/>
  <c r="P24" i="1" s="1"/>
  <c r="N26" i="1"/>
  <c r="K25" i="1"/>
  <c r="J25" i="1"/>
  <c r="J22" i="1" s="1"/>
  <c r="I25" i="1"/>
  <c r="I22" i="1" s="1"/>
  <c r="O24" i="1"/>
  <c r="O7" i="1" s="1"/>
  <c r="M24" i="1"/>
  <c r="M22" i="1" s="1"/>
  <c r="Q23" i="1"/>
  <c r="P23" i="1"/>
  <c r="O22" i="1"/>
  <c r="L22" i="1"/>
  <c r="K22" i="1"/>
  <c r="H22" i="1"/>
  <c r="Q21" i="1"/>
  <c r="P20" i="1"/>
  <c r="Q20" i="1" s="1"/>
  <c r="P19" i="1"/>
  <c r="O19" i="1"/>
  <c r="N19" i="1"/>
  <c r="M19" i="1"/>
  <c r="L19" i="1"/>
  <c r="K19" i="1"/>
  <c r="J19" i="1"/>
  <c r="I19" i="1"/>
  <c r="H19" i="1"/>
  <c r="Q19" i="1" s="1"/>
  <c r="Q18" i="1"/>
  <c r="P17" i="1"/>
  <c r="Q17" i="1" s="1"/>
  <c r="P16" i="1"/>
  <c r="Q16" i="1" s="1"/>
  <c r="P15" i="1"/>
  <c r="O15" i="1"/>
  <c r="N15" i="1"/>
  <c r="M15" i="1"/>
  <c r="L15" i="1"/>
  <c r="K15" i="1"/>
  <c r="J15" i="1"/>
  <c r="I15" i="1"/>
  <c r="H15" i="1"/>
  <c r="Q14" i="1"/>
  <c r="P14" i="1"/>
  <c r="P13" i="1"/>
  <c r="Q13" i="1" s="1"/>
  <c r="P12" i="1"/>
  <c r="Q12" i="1" s="1"/>
  <c r="O11" i="1"/>
  <c r="P11" i="1" s="1"/>
  <c r="N11" i="1"/>
  <c r="M11" i="1"/>
  <c r="L11" i="1"/>
  <c r="K11" i="1"/>
  <c r="J11" i="1"/>
  <c r="I11" i="1"/>
  <c r="H11" i="1"/>
  <c r="P10" i="1"/>
  <c r="O10" i="1"/>
  <c r="N10" i="1"/>
  <c r="M10" i="1"/>
  <c r="M5" i="1" s="1"/>
  <c r="L10" i="1"/>
  <c r="K10" i="1"/>
  <c r="I10" i="1"/>
  <c r="I5" i="1" s="1"/>
  <c r="H10" i="1"/>
  <c r="O9" i="1"/>
  <c r="P9" i="1" s="1"/>
  <c r="M9" i="1"/>
  <c r="L9" i="1"/>
  <c r="K9" i="1"/>
  <c r="J9" i="1"/>
  <c r="I9" i="1"/>
  <c r="H9" i="1"/>
  <c r="P8" i="1"/>
  <c r="M8" i="1"/>
  <c r="Q8" i="1" s="1"/>
  <c r="N7" i="1"/>
  <c r="M7" i="1"/>
  <c r="L7" i="1"/>
  <c r="K7" i="1"/>
  <c r="J7" i="1"/>
  <c r="I7" i="1"/>
  <c r="H7" i="1"/>
  <c r="H5" i="1" s="1"/>
  <c r="P6" i="1"/>
  <c r="Q6" i="1" s="1"/>
  <c r="L5" i="1"/>
  <c r="O5" i="1" l="1"/>
  <c r="Q26" i="9"/>
  <c r="N42" i="9"/>
  <c r="Q45" i="9"/>
  <c r="I90" i="9"/>
  <c r="I114" i="9" s="1"/>
  <c r="Q16" i="11"/>
  <c r="M23" i="11"/>
  <c r="M35" i="11" s="1"/>
  <c r="Q25" i="1"/>
  <c r="K19" i="2"/>
  <c r="K8" i="2" s="1"/>
  <c r="K5" i="2" s="1"/>
  <c r="K5" i="1"/>
  <c r="J10" i="1"/>
  <c r="J5" i="1" s="1"/>
  <c r="Q15" i="1"/>
  <c r="Q26" i="1"/>
  <c r="K7" i="2"/>
  <c r="D5" i="2"/>
  <c r="H5" i="2"/>
  <c r="M9" i="2"/>
  <c r="J22" i="2"/>
  <c r="Q53" i="7"/>
  <c r="P115" i="9"/>
  <c r="Q9" i="9"/>
  <c r="Q27" i="9"/>
  <c r="K90" i="9"/>
  <c r="M115" i="9"/>
  <c r="H90" i="9"/>
  <c r="Q93" i="9"/>
  <c r="Q103" i="9"/>
  <c r="J113" i="9"/>
  <c r="J114" i="9" s="1"/>
  <c r="O114" i="9"/>
  <c r="N115" i="9"/>
  <c r="Q34" i="11"/>
  <c r="H37" i="11"/>
  <c r="Q8" i="13"/>
  <c r="L22" i="13"/>
  <c r="P51" i="13"/>
  <c r="J52" i="13"/>
  <c r="J50" i="13"/>
  <c r="Q49" i="13"/>
  <c r="I52" i="13"/>
  <c r="I50" i="13"/>
  <c r="P41" i="13"/>
  <c r="P50" i="13" s="1"/>
  <c r="P52" i="13" s="1"/>
  <c r="H52" i="13"/>
  <c r="H50" i="13"/>
  <c r="O41" i="13"/>
  <c r="O50" i="13" s="1"/>
  <c r="O52" i="13" s="1"/>
  <c r="H51" i="13"/>
  <c r="Q51" i="13" s="1"/>
  <c r="Q22" i="13"/>
  <c r="Q26" i="13"/>
  <c r="P33" i="13"/>
  <c r="Q33" i="13" s="1"/>
  <c r="L41" i="13"/>
  <c r="L50" i="13" s="1"/>
  <c r="Q47" i="13"/>
  <c r="K50" i="13"/>
  <c r="L52" i="13"/>
  <c r="Q48" i="13"/>
  <c r="Q38" i="11"/>
  <c r="H35" i="11"/>
  <c r="Q37" i="11"/>
  <c r="Q12" i="11"/>
  <c r="N23" i="11"/>
  <c r="N35" i="11" s="1"/>
  <c r="K36" i="11"/>
  <c r="Q36" i="11" s="1"/>
  <c r="Q14" i="11"/>
  <c r="O23" i="11"/>
  <c r="Q18" i="11"/>
  <c r="M114" i="9"/>
  <c r="P90" i="9"/>
  <c r="P116" i="9"/>
  <c r="Q116" i="9" s="1"/>
  <c r="K42" i="9"/>
  <c r="Q51" i="9"/>
  <c r="K115" i="9"/>
  <c r="Q115" i="9" s="1"/>
  <c r="O117" i="9"/>
  <c r="P117" i="9" s="1"/>
  <c r="Q15" i="9"/>
  <c r="Q42" i="9" s="1"/>
  <c r="L42" i="9"/>
  <c r="L114" i="9" s="1"/>
  <c r="P42" i="9"/>
  <c r="N90" i="9"/>
  <c r="N114" i="9" s="1"/>
  <c r="H113" i="9"/>
  <c r="P113" i="9"/>
  <c r="P114" i="9" s="1"/>
  <c r="H117" i="9"/>
  <c r="L117" i="9"/>
  <c r="L90" i="9"/>
  <c r="L50" i="7"/>
  <c r="L51" i="7" s="1"/>
  <c r="Q51" i="7" s="1"/>
  <c r="P50" i="7"/>
  <c r="L52" i="7"/>
  <c r="Q52" i="7" s="1"/>
  <c r="M22" i="2"/>
  <c r="L16" i="2"/>
  <c r="L8" i="2"/>
  <c r="L5" i="2" s="1"/>
  <c r="M27" i="2"/>
  <c r="M11" i="2"/>
  <c r="M8" i="2"/>
  <c r="M5" i="2" s="1"/>
  <c r="M19" i="2"/>
  <c r="M16" i="2" s="1"/>
  <c r="M28" i="2"/>
  <c r="K16" i="2"/>
  <c r="Q11" i="1"/>
  <c r="P22" i="1"/>
  <c r="Q24" i="1"/>
  <c r="P7" i="1"/>
  <c r="P5" i="1" s="1"/>
  <c r="Q5" i="1" s="1"/>
  <c r="Q10" i="1"/>
  <c r="N9" i="1"/>
  <c r="N5" i="1" s="1"/>
  <c r="N22" i="1"/>
  <c r="Q22" i="1" l="1"/>
  <c r="Q9" i="1"/>
  <c r="Q90" i="9"/>
  <c r="K114" i="9"/>
  <c r="Q41" i="13"/>
  <c r="Q50" i="13"/>
  <c r="Q52" i="13" s="1"/>
  <c r="O35" i="11"/>
  <c r="P35" i="11" s="1"/>
  <c r="P23" i="11"/>
  <c r="Q23" i="11" s="1"/>
  <c r="Q113" i="9"/>
  <c r="H114" i="9"/>
  <c r="Q114" i="9" s="1"/>
  <c r="Q117" i="9"/>
  <c r="Q50" i="7"/>
  <c r="Q7" i="1"/>
  <c r="Q35" i="11" l="1"/>
</calcChain>
</file>

<file path=xl/sharedStrings.xml><?xml version="1.0" encoding="utf-8"?>
<sst xmlns="http://schemas.openxmlformats.org/spreadsheetml/2006/main" count="1774" uniqueCount="588">
  <si>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</si>
  <si>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</si>
  <si>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</si>
  <si>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</si>
  <si>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</si>
  <si>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</si>
  <si>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</si>
  <si>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</si>
  <si>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</si>
  <si>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</si>
  <si>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</si>
  <si>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</si>
  <si>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</si>
  <si>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</si>
  <si>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</si>
  <si>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</si>
  <si>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</si>
  <si>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</si>
  <si>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</si>
  <si>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</si>
  <si>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</si>
  <si>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</si>
  <si>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</si>
  <si>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</si>
  <si>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</si>
  <si>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</si>
  <si>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</si>
  <si>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</si>
  <si>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</si>
  <si>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</si>
  <si>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</si>
  <si>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</si>
  <si>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</si>
  <si>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</si>
  <si>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</si>
  <si>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</si>
  <si>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</si>
  <si>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</si>
  <si>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</si>
  <si>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</si>
  <si>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</si>
  <si>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</si>
  <si>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</si>
  <si>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</si>
  <si>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</si>
  <si>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</si>
  <si>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</si>
  <si>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</si>
  <si>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</si>
  <si>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</si>
  <si>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</si>
  <si>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</si>
  <si>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</si>
  <si>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</si>
  <si>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</si>
  <si>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</si>
  <si>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</si>
  <si>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</si>
  <si>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</si>
  <si>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</si>
  <si>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</si>
  <si>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</si>
  <si>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</si>
  <si>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</si>
  <si>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</si>
  <si>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</si>
  <si>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</si>
  <si>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</si>
  <si>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</si>
  <si>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</si>
  <si>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</si>
  <si>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</si>
  <si>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</si>
  <si>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</si>
  <si>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</si>
  <si>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</si>
  <si>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</si>
  <si>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</si>
  <si>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</si>
  <si>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</si>
  <si>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</si>
  <si>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</si>
  <si>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</si>
  <si>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</si>
  <si>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</si>
  <si>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</si>
  <si>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</si>
  <si>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</si>
  <si>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</si>
  <si>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</si>
  <si>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</si>
  <si>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</si>
  <si>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</si>
  <si>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</si>
  <si>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</si>
  <si>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</si>
  <si>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</si>
  <si>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</si>
  <si>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</si>
  <si>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</si>
  <si>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</si>
  <si>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</si>
  <si>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</si>
  <si>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</si>
  <si>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</si>
  <si>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</si>
  <si>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</si>
  <si>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</si>
  <si>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</si>
  <si>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</si>
  <si>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</si>
  <si>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</si>
  <si>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</si>
  <si>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</si>
  <si>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</si>
  <si>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</si>
  <si>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</si>
  <si>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</si>
  <si>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</si>
  <si>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</si>
  <si>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</si>
  <si>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</si>
  <si>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</si>
  <si>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</si>
  <si>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</si>
  <si>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</si>
  <si>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</si>
  <si>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</si>
  <si>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</si>
  <si>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</si>
  <si>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</si>
  <si>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</si>
  <si>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</si>
  <si>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</si>
  <si>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</si>
  <si>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</si>
  <si>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</si>
  <si>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</si>
  <si>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</si>
  <si>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</si>
  <si>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</si>
  <si>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</si>
  <si>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</si>
  <si>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</si>
  <si>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</si>
  <si>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</si>
  <si>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</si>
  <si>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</si>
  <si>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</si>
  <si>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</si>
  <si>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</si>
  <si>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</si>
  <si>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</si>
  <si>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</si>
  <si>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</si>
  <si>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</si>
  <si>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</si>
  <si>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</si>
  <si>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</si>
  <si>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</si>
  <si>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</si>
  <si>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</si>
  <si>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</si>
  <si>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</si>
  <si>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</si>
  <si>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</si>
  <si>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</si>
  <si>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</si>
  <si>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</si>
  <si>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</si>
  <si>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</si>
  <si>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</si>
  <si>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</si>
  <si>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</si>
  <si>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</si>
  <si>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</si>
  <si>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</si>
  <si>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</si>
  <si>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</si>
  <si>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</si>
  <si>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</si>
  <si>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</si>
  <si>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</si>
  <si>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</si>
  <si>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</si>
  <si>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</si>
  <si>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</si>
  <si>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</si>
  <si>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</si>
  <si>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</si>
  <si>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</si>
  <si>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</si>
  <si>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</si>
  <si>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</si>
  <si>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</si>
  <si>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</si>
  <si>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</si>
  <si>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</si>
  <si>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</si>
  <si>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</si>
  <si>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</si>
  <si>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</si>
  <si>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</si>
  <si>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</si>
  <si>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</si>
  <si>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</si>
  <si>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</si>
  <si>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</si>
  <si>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</si>
  <si>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</si>
  <si>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</si>
  <si>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</si>
  <si>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</si>
  <si>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</si>
  <si>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</si>
  <si>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</si>
  <si>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</si>
  <si>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</si>
  <si>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</si>
  <si>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</si>
  <si>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</si>
  <si>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</si>
  <si>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</si>
  <si>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</si>
  <si>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</si>
  <si>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</si>
  <si>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</si>
  <si>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</si>
  <si>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</si>
  <si>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</si>
  <si>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</si>
  <si>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</si>
  <si>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</si>
  <si>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</si>
  <si>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</si>
  <si>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</si>
  <si>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</si>
  <si>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</si>
  <si>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</si>
  <si>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</si>
  <si>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</si>
  <si>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</si>
  <si>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</si>
  <si>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2023 год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</si>
  <si>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</si>
  <si>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</si>
  <si>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</si>
  <si>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</si>
  <si>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</si>
  <si>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</si>
  <si>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</si>
  <si>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</si>
  <si>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</si>
  <si>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</si>
  <si>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</si>
  <si>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r>
  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  </r>
    <r>
      <rPr>
        <sz val="12"/>
        <color indexed="10"/>
        <rFont val="Times New Roman"/>
        <family val="1"/>
        <charset val="204"/>
      </rPr>
      <t>(попробуйте изменить формулировку, чтобы было общее понимание, что мониторим)</t>
    </r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</si>
  <si>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</si>
  <si>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</si>
  <si>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</si>
  <si>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</si>
  <si>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</si>
  <si>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</si>
  <si>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</si>
  <si>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</si>
  <si>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</si>
  <si>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</si>
  <si>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</si>
  <si>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</si>
  <si>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</si>
  <si>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</si>
  <si>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</si>
  <si>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</si>
  <si>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</si>
  <si>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</si>
  <si>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</si>
  <si>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</si>
  <si>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</si>
  <si>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</si>
  <si>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</si>
  <si>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</si>
  <si>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</si>
  <si>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</si>
  <si>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</si>
  <si>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</si>
  <si>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</si>
  <si>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</si>
  <si>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</si>
  <si>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</si>
  <si>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</si>
  <si>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</si>
  <si>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</si>
  <si>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</si>
  <si>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</si>
  <si>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</si>
  <si>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</si>
  <si>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</si>
  <si>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</si>
  <si>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</si>
  <si>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</si>
  <si>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</si>
  <si>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</si>
  <si>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</si>
  <si>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</si>
  <si>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</si>
  <si>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</si>
  <si>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</si>
  <si>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</si>
  <si>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</si>
  <si>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</si>
  <si>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</si>
  <si>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</si>
  <si>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</si>
  <si>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</si>
  <si>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</si>
  <si>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</si>
  <si>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</si>
  <si>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</si>
  <si>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</si>
  <si>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</si>
  <si>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</si>
  <si>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</si>
  <si>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</si>
  <si>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</si>
  <si>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</si>
  <si>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</si>
  <si>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</si>
  <si>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</si>
  <si>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</si>
  <si>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</si>
  <si>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</si>
  <si>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</si>
  <si>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</si>
  <si>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</si>
  <si>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</si>
  <si>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</si>
  <si>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</si>
  <si>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</si>
  <si>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</si>
  <si>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</si>
  <si>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</si>
  <si>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</si>
  <si>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</si>
  <si>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</si>
  <si>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</si>
  <si>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</si>
  <si>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</si>
  <si>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</si>
  <si>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</si>
  <si>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</si>
  <si>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</si>
  <si>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</si>
  <si>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</si>
  <si>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</si>
  <si>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</si>
  <si>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</si>
  <si>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</si>
  <si>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</si>
  <si>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</si>
  <si>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</si>
  <si>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</si>
  <si>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</si>
  <si>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</si>
  <si>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</si>
  <si>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</si>
  <si>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</si>
  <si>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</si>
  <si>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</si>
  <si>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</si>
  <si>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</si>
  <si>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</si>
  <si>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</si>
  <si>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</si>
  <si>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</si>
  <si>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</si>
  <si>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</si>
  <si>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</si>
  <si>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</si>
  <si>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</si>
  <si>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</si>
  <si>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</si>
  <si>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</si>
  <si>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</si>
  <si>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</si>
  <si>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</si>
  <si>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</si>
  <si>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</si>
  <si>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</si>
  <si>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</si>
  <si>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</si>
  <si>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</si>
  <si>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</si>
  <si>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</si>
  <si>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</si>
  <si>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</si>
  <si>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</si>
  <si>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Софинансирование расходов на  устройство плоскостных спортивных сооружений (МБОУ СОШ № 9)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</si>
  <si>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</si>
  <si>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</si>
  <si>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</si>
  <si>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</si>
  <si>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</si>
  <si>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</si>
  <si>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</si>
  <si>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</si>
  <si>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</si>
  <si>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</si>
  <si>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</si>
  <si>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</si>
  <si>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</si>
  <si>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</si>
  <si>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</si>
  <si>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</si>
  <si>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0703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</si>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</sst>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_р_._-;\-* #,##0.0_р_._-;_-* &quot;-&quot;?_р_._-;_-@_-"/>
    <numFmt numFmtId="165" formatCode="_-* #,##0.0\ _₽_-;\-* #,##0.0\ _₽_-;_-* &quot;-&quot;?\ _₽_-;_-@_-"/>
    <numFmt numFmtId="166" formatCode="0.0"/>
    <numFmt numFmtId="167" formatCode="#,##0.0"/>
    <numFmt numFmtId="168" formatCode="#,##0.0_ ;\-#,##0.0\ "/>
    <numFmt numFmtId="169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507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4" fontId="2" fillId="4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4" fontId="2" fillId="5" borderId="2" xfId="1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6" fontId="2" fillId="2" borderId="2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2" fillId="0" borderId="2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6" fontId="2" fillId="0" borderId="0" xfId="0" applyNumberFormat="1" applyFont="1" applyFill="1"/>
    <xf numFmtId="166" fontId="2" fillId="2" borderId="0" xfId="0" applyNumberFormat="1" applyFont="1" applyFill="1"/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8" fillId="0" borderId="0" xfId="0" applyFont="1" applyFill="1"/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0" xfId="2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2" fontId="2" fillId="2" borderId="0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left" vertical="top" wrapText="1" indent="1"/>
    </xf>
    <xf numFmtId="0" fontId="2" fillId="4" borderId="2" xfId="2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6" borderId="2" xfId="2" applyNumberFormat="1" applyFont="1" applyFill="1" applyBorder="1" applyAlignment="1">
      <alignment horizontal="center" vertical="center" wrapText="1"/>
    </xf>
    <xf numFmtId="0" fontId="2" fillId="6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2" xfId="0" applyNumberFormat="1" applyFont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7" fontId="2" fillId="0" borderId="2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center" vertical="center"/>
    </xf>
    <xf numFmtId="166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4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43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0" xfId="2" applyFont="1" applyFill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4" borderId="2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164" fontId="19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0" xfId="0" applyFont="1" applyFill="1" applyBorder="1" applyAlignment="1">
      <alignment horizontal="center" vertical="top"/>
    </xf>
    <xf numFmtId="168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justify" vertical="center" wrapText="1"/>
    </xf>
    <xf numFmtId="0" fontId="14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14" fillId="0" borderId="0" xfId="0" applyFont="1" applyFill="1" applyAlignment="1">
      <alignment wrapText="1"/>
    </xf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0" fontId="21" fillId="0" borderId="0" xfId="0" applyFont="1" applyFill="1" applyAlignment="1"/>
    <xf numFmtId="0" fontId="21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right"/>
    </xf>
    <xf numFmtId="43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11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4" fontId="18" fillId="0" borderId="2" xfId="0" applyNumberFormat="1" applyFont="1" applyFill="1" applyBorder="1" applyAlignment="1">
      <alignment horizontal="right" vertical="center"/>
    </xf>
    <xf numFmtId="49" fontId="2" fillId="4" borderId="2" xfId="0" applyNumberFormat="1" applyFont="1" applyFill="1" applyBorder="1" applyAlignment="1">
      <alignment horizontal="left" vertical="center" wrapText="1"/>
    </xf>
    <xf numFmtId="4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21" fillId="2" borderId="2" xfId="0" applyNumberFormat="1" applyFont="1" applyFill="1" applyBorder="1" applyAlignment="1">
      <alignment horizontal="center" vertical="top"/>
    </xf>
    <xf numFmtId="4" fontId="21" fillId="2" borderId="2" xfId="0" applyNumberFormat="1" applyFont="1" applyFill="1" applyBorder="1" applyAlignment="1">
      <alignment horizontal="right" vertical="center"/>
    </xf>
    <xf numFmtId="4" fontId="21" fillId="0" borderId="2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/>
    <xf numFmtId="0" fontId="21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/>
    <xf numFmtId="0" fontId="2" fillId="0" borderId="0" xfId="0" applyFont="1" applyFill="1" applyAlignment="1">
      <alignment vertical="center"/>
    </xf>
    <xf numFmtId="4" fontId="21" fillId="2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/>
    </xf>
    <xf numFmtId="4" fontId="16" fillId="0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4" fillId="0" borderId="0" xfId="2" applyFont="1" applyFill="1" applyBorder="1" applyAlignment="1">
      <alignment horizontal="center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5" fillId="0" borderId="0" xfId="0" applyFont="1" applyFill="1"/>
    <xf numFmtId="0" fontId="26" fillId="0" borderId="0" xfId="0" applyFont="1" applyFill="1"/>
    <xf numFmtId="0" fontId="6" fillId="0" borderId="0" xfId="2" applyFont="1" applyFill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169" fontId="2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2" fillId="4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169" fontId="2" fillId="2" borderId="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/>
    <xf numFmtId="164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0" fontId="21" fillId="0" borderId="2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/>
    <xf numFmtId="0" fontId="21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1" fillId="0" borderId="0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8" xfId="0" applyFill="1" applyBorder="1"/>
    <xf numFmtId="0" fontId="0" fillId="0" borderId="7" xfId="0" applyBorder="1"/>
    <xf numFmtId="0" fontId="0" fillId="0" borderId="8" xfId="0" applyBorder="1"/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49" fontId="7" fillId="0" borderId="2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8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167" fontId="7" fillId="0" borderId="0" xfId="0" applyNumberFormat="1" applyFont="1" applyFill="1" applyBorder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/>
    </xf>
    <xf numFmtId="49" fontId="17" fillId="2" borderId="2" xfId="0" applyNumberFormat="1" applyFont="1" applyFill="1" applyBorder="1" applyAlignment="1">
      <alignment horizontal="left" vertical="center"/>
    </xf>
    <xf numFmtId="0" fontId="17" fillId="7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horizontal="center" vertical="top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6" fillId="0" borderId="0" xfId="2" applyFont="1" applyFill="1" applyAlignment="1">
      <alignment horizontal="left" vertical="top" wrapText="1"/>
    </xf>
    <xf numFmtId="0" fontId="30" fillId="0" borderId="0" xfId="0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 vertical="top"/>
    </xf>
    <xf numFmtId="49" fontId="6" fillId="2" borderId="6" xfId="0" applyNumberFormat="1" applyFont="1" applyFill="1" applyBorder="1" applyAlignment="1">
      <alignment horizontal="center" vertical="top"/>
    </xf>
    <xf numFmtId="49" fontId="6" fillId="2" borderId="8" xfId="0" applyNumberFormat="1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28" fillId="0" borderId="2" xfId="0" applyFont="1" applyFill="1" applyBorder="1" applyAlignment="1">
      <alignment horizontal="left" vertical="center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2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0" fontId="2" fillId="0" borderId="8" xfId="2" applyFont="1" applyFill="1" applyBorder="1" applyAlignment="1">
      <alignment horizontal="left" vertical="center" wrapText="1"/>
    </xf>
    <xf numFmtId="167" fontId="6" fillId="0" borderId="0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0" fontId="2" fillId="0" borderId="2" xfId="2" applyFont="1" applyFill="1" applyBorder="1" applyAlignment="1">
      <alignment horizontal="left" vertical="center" wrapText="1"/>
    </xf>
    <xf numFmtId="0" fontId="21" fillId="0" borderId="2" xfId="0" applyNumberFormat="1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zoomScale="70" zoomScaleNormal="70" workbookViewId="0">
      <selection activeCell="K14" sqref="K14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34" customWidth="1"/>
    <col min="12" max="16" width="15.42578125" style="1" customWidth="1"/>
    <col min="17" max="17" width="17" style="1" customWidth="1"/>
    <col min="18" max="16384" width="9.28515625" style="1"/>
  </cols>
  <sheetData>
    <row r="1" spans="1:18" ht="58.5" customHeight="1" x14ac:dyDescent="0.25">
      <c r="J1" s="2"/>
      <c r="K1" s="3"/>
      <c r="L1" s="4"/>
      <c r="M1" s="329" t="s">
        <v>0</v>
      </c>
      <c r="N1" s="329"/>
      <c r="O1" s="329"/>
      <c r="P1" s="329"/>
      <c r="Q1" s="329"/>
    </row>
    <row r="2" spans="1:18" ht="30" customHeight="1" x14ac:dyDescent="0.25">
      <c r="A2" s="330" t="s">
        <v>1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</row>
    <row r="3" spans="1:18" ht="18.75" customHeight="1" x14ac:dyDescent="0.25">
      <c r="A3" s="331" t="s">
        <v>2</v>
      </c>
      <c r="B3" s="331" t="s">
        <v>3</v>
      </c>
      <c r="C3" s="331" t="s">
        <v>4</v>
      </c>
      <c r="D3" s="331" t="s">
        <v>5</v>
      </c>
      <c r="E3" s="331"/>
      <c r="F3" s="331"/>
      <c r="G3" s="331"/>
      <c r="H3" s="332" t="s">
        <v>6</v>
      </c>
      <c r="I3" s="333"/>
      <c r="J3" s="333"/>
      <c r="K3" s="333"/>
      <c r="L3" s="333"/>
      <c r="M3" s="333"/>
      <c r="N3" s="333"/>
      <c r="O3" s="333"/>
      <c r="P3" s="333"/>
      <c r="Q3" s="334"/>
    </row>
    <row r="4" spans="1:18" ht="49.5" customHeight="1" x14ac:dyDescent="0.25">
      <c r="A4" s="331"/>
      <c r="B4" s="331"/>
      <c r="C4" s="331"/>
      <c r="D4" s="5" t="s">
        <v>7</v>
      </c>
      <c r="E4" s="5" t="s">
        <v>8</v>
      </c>
      <c r="F4" s="5" t="s">
        <v>9</v>
      </c>
      <c r="G4" s="5" t="s">
        <v>10</v>
      </c>
      <c r="H4" s="5">
        <v>2014</v>
      </c>
      <c r="I4" s="5">
        <v>2015</v>
      </c>
      <c r="J4" s="5">
        <v>2016</v>
      </c>
      <c r="K4" s="6">
        <v>2017</v>
      </c>
      <c r="L4" s="5">
        <v>2018</v>
      </c>
      <c r="M4" s="6">
        <v>2019</v>
      </c>
      <c r="N4" s="6">
        <v>2020</v>
      </c>
      <c r="O4" s="6">
        <v>2021</v>
      </c>
      <c r="P4" s="6">
        <v>2022</v>
      </c>
      <c r="Q4" s="5" t="s">
        <v>11</v>
      </c>
    </row>
    <row r="5" spans="1:18" ht="48" customHeight="1" x14ac:dyDescent="0.25">
      <c r="A5" s="322" t="s">
        <v>12</v>
      </c>
      <c r="B5" s="325" t="s">
        <v>13</v>
      </c>
      <c r="C5" s="7" t="s">
        <v>14</v>
      </c>
      <c r="D5" s="8" t="s">
        <v>15</v>
      </c>
      <c r="E5" s="8" t="s">
        <v>15</v>
      </c>
      <c r="F5" s="8" t="s">
        <v>15</v>
      </c>
      <c r="G5" s="8" t="s">
        <v>15</v>
      </c>
      <c r="H5" s="9">
        <f t="shared" ref="H5:P5" si="0">H7+H8+H9+H10</f>
        <v>447829.6</v>
      </c>
      <c r="I5" s="9">
        <f t="shared" si="0"/>
        <v>473625.60000000003</v>
      </c>
      <c r="J5" s="10">
        <f t="shared" si="0"/>
        <v>511729.7</v>
      </c>
      <c r="K5" s="10">
        <f t="shared" si="0"/>
        <v>523227.99999999994</v>
      </c>
      <c r="L5" s="10">
        <f t="shared" si="0"/>
        <v>549349</v>
      </c>
      <c r="M5" s="9">
        <f t="shared" si="0"/>
        <v>614389.60000000009</v>
      </c>
      <c r="N5" s="9">
        <f t="shared" si="0"/>
        <v>592264.59999999986</v>
      </c>
      <c r="O5" s="9">
        <f t="shared" si="0"/>
        <v>583662.00000000012</v>
      </c>
      <c r="P5" s="9">
        <f t="shared" si="0"/>
        <v>578852.9</v>
      </c>
      <c r="Q5" s="9">
        <f>SUM(H5:P5)</f>
        <v>4874931</v>
      </c>
    </row>
    <row r="6" spans="1:18" x14ac:dyDescent="0.25">
      <c r="A6" s="323"/>
      <c r="B6" s="326"/>
      <c r="C6" s="7" t="s">
        <v>16</v>
      </c>
      <c r="D6" s="11"/>
      <c r="E6" s="11"/>
      <c r="F6" s="11"/>
      <c r="G6" s="11"/>
      <c r="H6" s="11"/>
      <c r="I6" s="12"/>
      <c r="J6" s="12"/>
      <c r="K6" s="13"/>
      <c r="L6" s="13"/>
      <c r="M6" s="12"/>
      <c r="N6" s="12"/>
      <c r="O6" s="12"/>
      <c r="P6" s="9">
        <f t="shared" ref="P6:P26" si="1">O6</f>
        <v>0</v>
      </c>
      <c r="Q6" s="9">
        <f t="shared" ref="Q6:Q26" si="2">SUM(H6:P6)</f>
        <v>0</v>
      </c>
    </row>
    <row r="7" spans="1:18" ht="51.75" customHeight="1" x14ac:dyDescent="0.25">
      <c r="A7" s="323"/>
      <c r="B7" s="326"/>
      <c r="C7" s="7" t="s">
        <v>17</v>
      </c>
      <c r="D7" s="14" t="s">
        <v>18</v>
      </c>
      <c r="E7" s="8" t="s">
        <v>15</v>
      </c>
      <c r="F7" s="8" t="s">
        <v>15</v>
      </c>
      <c r="G7" s="8" t="s">
        <v>15</v>
      </c>
      <c r="H7" s="15">
        <f t="shared" ref="H7:P7" si="3">H13+H18+H21+H24</f>
        <v>426153.3</v>
      </c>
      <c r="I7" s="15">
        <f t="shared" si="3"/>
        <v>451251.20000000001</v>
      </c>
      <c r="J7" s="15">
        <f t="shared" si="3"/>
        <v>486929.2</v>
      </c>
      <c r="K7" s="16">
        <f t="shared" si="3"/>
        <v>498675.49999999994</v>
      </c>
      <c r="L7" s="16">
        <f t="shared" si="3"/>
        <v>523112</v>
      </c>
      <c r="M7" s="15">
        <f t="shared" si="3"/>
        <v>587737.9</v>
      </c>
      <c r="N7" s="15">
        <f t="shared" si="3"/>
        <v>576041.39999999991</v>
      </c>
      <c r="O7" s="15">
        <f t="shared" si="3"/>
        <v>561489.10000000009</v>
      </c>
      <c r="P7" s="15">
        <f t="shared" si="3"/>
        <v>559736</v>
      </c>
      <c r="Q7" s="9">
        <f t="shared" si="2"/>
        <v>4671125.5999999996</v>
      </c>
      <c r="R7" s="17"/>
    </row>
    <row r="8" spans="1:18" ht="49.5" hidden="1" customHeight="1" x14ac:dyDescent="0.25">
      <c r="A8" s="323"/>
      <c r="B8" s="326"/>
      <c r="C8" s="18" t="s">
        <v>19</v>
      </c>
      <c r="D8" s="19" t="s">
        <v>20</v>
      </c>
      <c r="E8" s="8" t="s">
        <v>15</v>
      </c>
      <c r="F8" s="8" t="s">
        <v>15</v>
      </c>
      <c r="G8" s="8" t="s">
        <v>15</v>
      </c>
      <c r="H8" s="15"/>
      <c r="I8" s="15"/>
      <c r="J8" s="15"/>
      <c r="K8" s="16"/>
      <c r="L8" s="16"/>
      <c r="M8" s="15">
        <f>M17</f>
        <v>0</v>
      </c>
      <c r="N8" s="15"/>
      <c r="O8" s="15"/>
      <c r="P8" s="9">
        <f t="shared" si="1"/>
        <v>0</v>
      </c>
      <c r="Q8" s="9">
        <f t="shared" si="2"/>
        <v>0</v>
      </c>
    </row>
    <row r="9" spans="1:18" ht="39.950000000000003" customHeight="1" x14ac:dyDescent="0.25">
      <c r="A9" s="323"/>
      <c r="B9" s="326"/>
      <c r="C9" s="20" t="s">
        <v>21</v>
      </c>
      <c r="D9" s="14" t="s">
        <v>22</v>
      </c>
      <c r="E9" s="8" t="s">
        <v>15</v>
      </c>
      <c r="F9" s="8" t="s">
        <v>15</v>
      </c>
      <c r="G9" s="8" t="s">
        <v>15</v>
      </c>
      <c r="H9" s="15">
        <f t="shared" ref="H9:N9" si="4">H26</f>
        <v>14153.1</v>
      </c>
      <c r="I9" s="15">
        <f t="shared" si="4"/>
        <v>14936.4</v>
      </c>
      <c r="J9" s="15">
        <f t="shared" si="4"/>
        <v>15316.7</v>
      </c>
      <c r="K9" s="16">
        <f t="shared" si="4"/>
        <v>15372.5</v>
      </c>
      <c r="L9" s="16">
        <f t="shared" si="4"/>
        <v>15995.1</v>
      </c>
      <c r="M9" s="15">
        <f t="shared" si="4"/>
        <v>16743.8</v>
      </c>
      <c r="N9" s="15">
        <f t="shared" si="4"/>
        <v>16223.2</v>
      </c>
      <c r="O9" s="15">
        <f>O26</f>
        <v>16061</v>
      </c>
      <c r="P9" s="9">
        <f t="shared" si="1"/>
        <v>16061</v>
      </c>
      <c r="Q9" s="9">
        <f t="shared" si="2"/>
        <v>140862.79999999999</v>
      </c>
    </row>
    <row r="10" spans="1:18" ht="39.950000000000003" customHeight="1" x14ac:dyDescent="0.25">
      <c r="A10" s="324"/>
      <c r="B10" s="327"/>
      <c r="C10" s="20" t="s">
        <v>19</v>
      </c>
      <c r="D10" s="14" t="s">
        <v>20</v>
      </c>
      <c r="E10" s="8" t="s">
        <v>15</v>
      </c>
      <c r="F10" s="8" t="s">
        <v>15</v>
      </c>
      <c r="G10" s="8" t="s">
        <v>15</v>
      </c>
      <c r="H10" s="15">
        <f t="shared" ref="H10:N10" si="5">H25</f>
        <v>7523.2</v>
      </c>
      <c r="I10" s="15">
        <f t="shared" si="5"/>
        <v>7438</v>
      </c>
      <c r="J10" s="15">
        <f t="shared" si="5"/>
        <v>9483.7999999999993</v>
      </c>
      <c r="K10" s="16">
        <f t="shared" si="5"/>
        <v>9180</v>
      </c>
      <c r="L10" s="16">
        <f t="shared" si="5"/>
        <v>10241.9</v>
      </c>
      <c r="M10" s="15">
        <f t="shared" si="5"/>
        <v>9907.9</v>
      </c>
      <c r="N10" s="15">
        <f t="shared" si="5"/>
        <v>0</v>
      </c>
      <c r="O10" s="15">
        <f>O25</f>
        <v>6111.9</v>
      </c>
      <c r="P10" s="15">
        <f>P25</f>
        <v>3055.9</v>
      </c>
      <c r="Q10" s="9">
        <f t="shared" si="2"/>
        <v>62942.600000000006</v>
      </c>
    </row>
    <row r="11" spans="1:18" ht="46.5" customHeight="1" x14ac:dyDescent="0.25">
      <c r="A11" s="328" t="s">
        <v>23</v>
      </c>
      <c r="B11" s="328" t="s">
        <v>24</v>
      </c>
      <c r="C11" s="20" t="s">
        <v>14</v>
      </c>
      <c r="D11" s="21" t="s">
        <v>15</v>
      </c>
      <c r="E11" s="22" t="s">
        <v>15</v>
      </c>
      <c r="F11" s="21" t="s">
        <v>15</v>
      </c>
      <c r="G11" s="23" t="s">
        <v>15</v>
      </c>
      <c r="H11" s="15">
        <f t="shared" ref="H11:O11" si="6">H13+H14</f>
        <v>198091.6</v>
      </c>
      <c r="I11" s="15">
        <f t="shared" si="6"/>
        <v>204824.6</v>
      </c>
      <c r="J11" s="15">
        <f t="shared" si="6"/>
        <v>219030.5</v>
      </c>
      <c r="K11" s="16">
        <f t="shared" si="6"/>
        <v>218633.1</v>
      </c>
      <c r="L11" s="16">
        <f t="shared" si="6"/>
        <v>229336.9</v>
      </c>
      <c r="M11" s="15">
        <f t="shared" si="6"/>
        <v>267495.40000000002</v>
      </c>
      <c r="N11" s="15">
        <f t="shared" si="6"/>
        <v>273496</v>
      </c>
      <c r="O11" s="15">
        <f t="shared" si="6"/>
        <v>267814.90000000002</v>
      </c>
      <c r="P11" s="9">
        <f t="shared" si="1"/>
        <v>267814.90000000002</v>
      </c>
      <c r="Q11" s="9">
        <f t="shared" si="2"/>
        <v>2146537.9</v>
      </c>
    </row>
    <row r="12" spans="1:18" x14ac:dyDescent="0.25">
      <c r="A12" s="328"/>
      <c r="B12" s="328"/>
      <c r="C12" s="20" t="s">
        <v>16</v>
      </c>
      <c r="D12" s="24"/>
      <c r="E12" s="25"/>
      <c r="F12" s="24"/>
      <c r="G12" s="26"/>
      <c r="H12" s="26"/>
      <c r="I12" s="15"/>
      <c r="J12" s="15"/>
      <c r="K12" s="16"/>
      <c r="L12" s="16"/>
      <c r="M12" s="15"/>
      <c r="N12" s="15"/>
      <c r="O12" s="15"/>
      <c r="P12" s="9">
        <f t="shared" si="1"/>
        <v>0</v>
      </c>
      <c r="Q12" s="9">
        <f t="shared" si="2"/>
        <v>0</v>
      </c>
    </row>
    <row r="13" spans="1:18" ht="55.5" customHeight="1" x14ac:dyDescent="0.25">
      <c r="A13" s="328"/>
      <c r="B13" s="328"/>
      <c r="C13" s="7" t="s">
        <v>17</v>
      </c>
      <c r="D13" s="22" t="s">
        <v>18</v>
      </c>
      <c r="E13" s="22" t="s">
        <v>15</v>
      </c>
      <c r="F13" s="21" t="s">
        <v>15</v>
      </c>
      <c r="G13" s="23" t="s">
        <v>15</v>
      </c>
      <c r="H13" s="15">
        <v>198091.6</v>
      </c>
      <c r="I13" s="15">
        <v>204824.6</v>
      </c>
      <c r="J13" s="15">
        <v>219030.5</v>
      </c>
      <c r="K13" s="16">
        <v>218633.1</v>
      </c>
      <c r="L13" s="16">
        <v>229336.9</v>
      </c>
      <c r="M13" s="15">
        <v>267495.40000000002</v>
      </c>
      <c r="N13" s="15">
        <v>273496</v>
      </c>
      <c r="O13" s="15">
        <v>267814.90000000002</v>
      </c>
      <c r="P13" s="9">
        <f t="shared" si="1"/>
        <v>267814.90000000002</v>
      </c>
      <c r="Q13" s="9">
        <f t="shared" si="2"/>
        <v>2146537.9</v>
      </c>
    </row>
    <row r="14" spans="1:18" ht="63" x14ac:dyDescent="0.25">
      <c r="A14" s="328"/>
      <c r="B14" s="328"/>
      <c r="C14" s="7" t="s">
        <v>25</v>
      </c>
      <c r="D14" s="22" t="s">
        <v>26</v>
      </c>
      <c r="E14" s="22" t="s">
        <v>15</v>
      </c>
      <c r="F14" s="21" t="s">
        <v>15</v>
      </c>
      <c r="G14" s="23" t="s">
        <v>15</v>
      </c>
      <c r="H14" s="15"/>
      <c r="I14" s="15"/>
      <c r="J14" s="15">
        <v>0</v>
      </c>
      <c r="K14" s="16"/>
      <c r="L14" s="16"/>
      <c r="M14" s="15"/>
      <c r="N14" s="15"/>
      <c r="O14" s="15"/>
      <c r="P14" s="9">
        <f t="shared" si="1"/>
        <v>0</v>
      </c>
      <c r="Q14" s="9">
        <f t="shared" si="2"/>
        <v>0</v>
      </c>
    </row>
    <row r="15" spans="1:18" ht="47.25" x14ac:dyDescent="0.25">
      <c r="A15" s="316" t="s">
        <v>27</v>
      </c>
      <c r="B15" s="318" t="s">
        <v>28</v>
      </c>
      <c r="C15" s="20" t="s">
        <v>14</v>
      </c>
      <c r="D15" s="21" t="s">
        <v>15</v>
      </c>
      <c r="E15" s="22" t="s">
        <v>15</v>
      </c>
      <c r="F15" s="21" t="s">
        <v>15</v>
      </c>
      <c r="G15" s="23" t="s">
        <v>15</v>
      </c>
      <c r="H15" s="15">
        <f t="shared" ref="H15:N15" si="7">H18</f>
        <v>214621.9</v>
      </c>
      <c r="I15" s="15">
        <f t="shared" si="7"/>
        <v>231479.1</v>
      </c>
      <c r="J15" s="15">
        <f t="shared" si="7"/>
        <v>252889.60000000001</v>
      </c>
      <c r="K15" s="16">
        <f t="shared" si="7"/>
        <v>262736.59999999998</v>
      </c>
      <c r="L15" s="16">
        <f t="shared" si="7"/>
        <v>275850</v>
      </c>
      <c r="M15" s="15">
        <f>M17+M18</f>
        <v>294091.2</v>
      </c>
      <c r="N15" s="15">
        <f t="shared" si="7"/>
        <v>270153.09999999998</v>
      </c>
      <c r="O15" s="15">
        <f>O18</f>
        <v>261809.4</v>
      </c>
      <c r="P15" s="9">
        <f>P18</f>
        <v>260056.3</v>
      </c>
      <c r="Q15" s="9">
        <f t="shared" si="2"/>
        <v>2323687.1999999997</v>
      </c>
    </row>
    <row r="16" spans="1:18" x14ac:dyDescent="0.25">
      <c r="A16" s="317"/>
      <c r="B16" s="319"/>
      <c r="C16" s="20" t="s">
        <v>16</v>
      </c>
      <c r="D16" s="24"/>
      <c r="E16" s="25"/>
      <c r="F16" s="24"/>
      <c r="G16" s="26"/>
      <c r="H16" s="15"/>
      <c r="I16" s="15"/>
      <c r="J16" s="15"/>
      <c r="K16" s="16"/>
      <c r="L16" s="16"/>
      <c r="M16" s="15"/>
      <c r="N16" s="15"/>
      <c r="O16" s="15"/>
      <c r="P16" s="9">
        <f t="shared" si="1"/>
        <v>0</v>
      </c>
      <c r="Q16" s="9">
        <f t="shared" si="2"/>
        <v>0</v>
      </c>
    </row>
    <row r="17" spans="1:17" ht="31.5" hidden="1" x14ac:dyDescent="0.25">
      <c r="A17" s="317"/>
      <c r="B17" s="319"/>
      <c r="C17" s="18" t="s">
        <v>19</v>
      </c>
      <c r="D17" s="19" t="s">
        <v>20</v>
      </c>
      <c r="E17" s="8" t="s">
        <v>15</v>
      </c>
      <c r="F17" s="8" t="s">
        <v>15</v>
      </c>
      <c r="G17" s="8" t="s">
        <v>15</v>
      </c>
      <c r="H17" s="15"/>
      <c r="I17" s="15"/>
      <c r="J17" s="15"/>
      <c r="K17" s="16"/>
      <c r="L17" s="16"/>
      <c r="M17" s="15">
        <v>0</v>
      </c>
      <c r="N17" s="15"/>
      <c r="O17" s="15"/>
      <c r="P17" s="9">
        <f t="shared" si="1"/>
        <v>0</v>
      </c>
      <c r="Q17" s="9">
        <f t="shared" si="2"/>
        <v>0</v>
      </c>
    </row>
    <row r="18" spans="1:17" ht="50.25" customHeight="1" x14ac:dyDescent="0.25">
      <c r="A18" s="317"/>
      <c r="B18" s="320"/>
      <c r="C18" s="7" t="s">
        <v>17</v>
      </c>
      <c r="D18" s="27">
        <v>975</v>
      </c>
      <c r="E18" s="22" t="s">
        <v>15</v>
      </c>
      <c r="F18" s="21" t="s">
        <v>15</v>
      </c>
      <c r="G18" s="23" t="s">
        <v>15</v>
      </c>
      <c r="H18" s="28">
        <v>214621.9</v>
      </c>
      <c r="I18" s="15">
        <v>231479.1</v>
      </c>
      <c r="J18" s="15">
        <v>252889.60000000001</v>
      </c>
      <c r="K18" s="16">
        <v>262736.59999999998</v>
      </c>
      <c r="L18" s="16">
        <v>275850</v>
      </c>
      <c r="M18" s="15">
        <v>294091.2</v>
      </c>
      <c r="N18" s="15">
        <v>270153.09999999998</v>
      </c>
      <c r="O18" s="15">
        <v>261809.4</v>
      </c>
      <c r="P18" s="9">
        <v>260056.3</v>
      </c>
      <c r="Q18" s="9">
        <f t="shared" si="2"/>
        <v>2323687.1999999997</v>
      </c>
    </row>
    <row r="19" spans="1:17" ht="47.25" customHeight="1" x14ac:dyDescent="0.25">
      <c r="A19" s="316" t="s">
        <v>29</v>
      </c>
      <c r="B19" s="318" t="s">
        <v>30</v>
      </c>
      <c r="C19" s="20" t="s">
        <v>14</v>
      </c>
      <c r="D19" s="22" t="s">
        <v>18</v>
      </c>
      <c r="E19" s="22" t="s">
        <v>15</v>
      </c>
      <c r="F19" s="21" t="s">
        <v>15</v>
      </c>
      <c r="G19" s="23" t="s">
        <v>15</v>
      </c>
      <c r="H19" s="15">
        <f t="shared" ref="H19:N19" si="8">H21</f>
        <v>6990.7</v>
      </c>
      <c r="I19" s="15">
        <f t="shared" si="8"/>
        <v>7764.9</v>
      </c>
      <c r="J19" s="15">
        <f t="shared" si="8"/>
        <v>7414.4</v>
      </c>
      <c r="K19" s="16">
        <f t="shared" si="8"/>
        <v>8058.3</v>
      </c>
      <c r="L19" s="16">
        <f t="shared" si="8"/>
        <v>7980.8</v>
      </c>
      <c r="M19" s="15">
        <f t="shared" si="8"/>
        <v>8394.1</v>
      </c>
      <c r="N19" s="15">
        <f t="shared" si="8"/>
        <v>8506.6</v>
      </c>
      <c r="O19" s="15">
        <f>O21</f>
        <v>8453.4</v>
      </c>
      <c r="P19" s="9">
        <f t="shared" si="1"/>
        <v>8453.4</v>
      </c>
      <c r="Q19" s="9">
        <f t="shared" si="2"/>
        <v>72016.599999999991</v>
      </c>
    </row>
    <row r="20" spans="1:17" x14ac:dyDescent="0.25">
      <c r="A20" s="317"/>
      <c r="B20" s="319"/>
      <c r="C20" s="20" t="s">
        <v>16</v>
      </c>
      <c r="D20" s="24"/>
      <c r="E20" s="25"/>
      <c r="F20" s="24"/>
      <c r="G20" s="26"/>
      <c r="H20" s="15"/>
      <c r="I20" s="15"/>
      <c r="J20" s="15"/>
      <c r="K20" s="16"/>
      <c r="L20" s="16"/>
      <c r="M20" s="15"/>
      <c r="N20" s="15"/>
      <c r="O20" s="15"/>
      <c r="P20" s="9">
        <f t="shared" si="1"/>
        <v>0</v>
      </c>
      <c r="Q20" s="9">
        <f t="shared" si="2"/>
        <v>0</v>
      </c>
    </row>
    <row r="21" spans="1:17" ht="55.5" customHeight="1" x14ac:dyDescent="0.25">
      <c r="A21" s="317"/>
      <c r="B21" s="320"/>
      <c r="C21" s="7" t="s">
        <v>17</v>
      </c>
      <c r="D21" s="29">
        <v>975</v>
      </c>
      <c r="E21" s="30" t="s">
        <v>15</v>
      </c>
      <c r="F21" s="29" t="s">
        <v>15</v>
      </c>
      <c r="G21" s="31" t="s">
        <v>15</v>
      </c>
      <c r="H21" s="15">
        <v>6990.7</v>
      </c>
      <c r="I21" s="15">
        <v>7764.9</v>
      </c>
      <c r="J21" s="15">
        <v>7414.4</v>
      </c>
      <c r="K21" s="16">
        <v>8058.3</v>
      </c>
      <c r="L21" s="16">
        <v>7980.8</v>
      </c>
      <c r="M21" s="15">
        <v>8394.1</v>
      </c>
      <c r="N21" s="15">
        <v>8506.6</v>
      </c>
      <c r="O21" s="15">
        <v>8453.4</v>
      </c>
      <c r="P21" s="15">
        <v>8453.4</v>
      </c>
      <c r="Q21" s="9">
        <f t="shared" si="2"/>
        <v>72016.599999999991</v>
      </c>
    </row>
    <row r="22" spans="1:17" ht="47.25" customHeight="1" x14ac:dyDescent="0.25">
      <c r="A22" s="321" t="s">
        <v>31</v>
      </c>
      <c r="B22" s="318" t="s">
        <v>32</v>
      </c>
      <c r="C22" s="20" t="s">
        <v>14</v>
      </c>
      <c r="D22" s="21"/>
      <c r="E22" s="22"/>
      <c r="F22" s="21"/>
      <c r="G22" s="23"/>
      <c r="H22" s="15">
        <f t="shared" ref="H22:M22" si="9">H24+H25+H26</f>
        <v>28125.4</v>
      </c>
      <c r="I22" s="15">
        <f t="shared" si="9"/>
        <v>29557</v>
      </c>
      <c r="J22" s="15">
        <f t="shared" si="9"/>
        <v>32395.200000000001</v>
      </c>
      <c r="K22" s="16">
        <f>K24+K25+K26</f>
        <v>33800</v>
      </c>
      <c r="L22" s="16">
        <f>L24+L25+L26</f>
        <v>36181.299999999996</v>
      </c>
      <c r="M22" s="15">
        <f t="shared" si="9"/>
        <v>44408.899999999994</v>
      </c>
      <c r="N22" s="15">
        <f>N24+N25+N26</f>
        <v>40108.9</v>
      </c>
      <c r="O22" s="15">
        <f>O24+O25+O26</f>
        <v>45584.3</v>
      </c>
      <c r="P22" s="9">
        <f>P24+P25+P26</f>
        <v>42528.3</v>
      </c>
      <c r="Q22" s="9">
        <f t="shared" si="2"/>
        <v>332689.3</v>
      </c>
    </row>
    <row r="23" spans="1:17" x14ac:dyDescent="0.25">
      <c r="A23" s="321"/>
      <c r="B23" s="319"/>
      <c r="C23" s="20" t="s">
        <v>16</v>
      </c>
      <c r="D23" s="24"/>
      <c r="E23" s="25"/>
      <c r="F23" s="24"/>
      <c r="G23" s="26"/>
      <c r="H23" s="15"/>
      <c r="I23" s="15"/>
      <c r="J23" s="15"/>
      <c r="K23" s="16"/>
      <c r="L23" s="16"/>
      <c r="M23" s="15"/>
      <c r="N23" s="15"/>
      <c r="O23" s="15"/>
      <c r="P23" s="9">
        <f t="shared" si="1"/>
        <v>0</v>
      </c>
      <c r="Q23" s="9">
        <f t="shared" si="2"/>
        <v>0</v>
      </c>
    </row>
    <row r="24" spans="1:17" ht="48.75" customHeight="1" x14ac:dyDescent="0.25">
      <c r="A24" s="321"/>
      <c r="B24" s="319"/>
      <c r="C24" s="7" t="s">
        <v>17</v>
      </c>
      <c r="D24" s="22" t="s">
        <v>18</v>
      </c>
      <c r="E24" s="22" t="s">
        <v>15</v>
      </c>
      <c r="F24" s="21"/>
      <c r="G24" s="23"/>
      <c r="H24" s="15">
        <v>6449.1</v>
      </c>
      <c r="I24" s="15">
        <v>7182.6</v>
      </c>
      <c r="J24" s="15">
        <v>7594.7</v>
      </c>
      <c r="K24" s="16">
        <v>9247.5</v>
      </c>
      <c r="L24" s="16">
        <v>9944.2999999999993</v>
      </c>
      <c r="M24" s="15">
        <f>44408.9-M25-M26</f>
        <v>17757.2</v>
      </c>
      <c r="N24" s="15">
        <v>23885.7</v>
      </c>
      <c r="O24" s="15">
        <f>45584.3-O25-O26</f>
        <v>23411.4</v>
      </c>
      <c r="P24" s="9">
        <f>42528.3-P25-P26</f>
        <v>23411.4</v>
      </c>
      <c r="Q24" s="9">
        <f t="shared" si="2"/>
        <v>128883.9</v>
      </c>
    </row>
    <row r="25" spans="1:17" ht="39" customHeight="1" x14ac:dyDescent="0.25">
      <c r="A25" s="321"/>
      <c r="B25" s="319"/>
      <c r="C25" s="20" t="s">
        <v>19</v>
      </c>
      <c r="D25" s="21">
        <v>906</v>
      </c>
      <c r="E25" s="22" t="s">
        <v>15</v>
      </c>
      <c r="F25" s="21"/>
      <c r="G25" s="21"/>
      <c r="H25" s="16">
        <v>7523.2</v>
      </c>
      <c r="I25" s="16">
        <f>3247.3+4190.7</f>
        <v>7438</v>
      </c>
      <c r="J25" s="16">
        <f>9009.9+473.9</f>
        <v>9483.7999999999993</v>
      </c>
      <c r="K25" s="16">
        <f>8415+765</f>
        <v>9180</v>
      </c>
      <c r="L25" s="16">
        <v>10241.9</v>
      </c>
      <c r="M25" s="15">
        <v>9907.9</v>
      </c>
      <c r="N25" s="15">
        <v>0</v>
      </c>
      <c r="O25" s="15">
        <v>6111.9</v>
      </c>
      <c r="P25" s="9">
        <v>3055.9</v>
      </c>
      <c r="Q25" s="9">
        <f t="shared" si="2"/>
        <v>62942.600000000006</v>
      </c>
    </row>
    <row r="26" spans="1:17" ht="30" customHeight="1" x14ac:dyDescent="0.25">
      <c r="A26" s="321"/>
      <c r="B26" s="320"/>
      <c r="C26" s="20" t="s">
        <v>21</v>
      </c>
      <c r="D26" s="29">
        <v>976</v>
      </c>
      <c r="E26" s="30" t="s">
        <v>15</v>
      </c>
      <c r="F26" s="24"/>
      <c r="G26" s="24"/>
      <c r="H26" s="15">
        <v>14153.1</v>
      </c>
      <c r="I26" s="15">
        <v>14936.4</v>
      </c>
      <c r="J26" s="16">
        <v>15316.7</v>
      </c>
      <c r="K26" s="16">
        <v>15372.5</v>
      </c>
      <c r="L26" s="16">
        <v>15995.1</v>
      </c>
      <c r="M26" s="15">
        <v>16743.8</v>
      </c>
      <c r="N26" s="15">
        <f>16144.6+78.6</f>
        <v>16223.2</v>
      </c>
      <c r="O26" s="15">
        <v>16061</v>
      </c>
      <c r="P26" s="9">
        <f t="shared" si="1"/>
        <v>16061</v>
      </c>
      <c r="Q26" s="9">
        <f t="shared" si="2"/>
        <v>140862.79999999999</v>
      </c>
    </row>
    <row r="27" spans="1:17" x14ac:dyDescent="0.25">
      <c r="I27" s="32"/>
      <c r="J27" s="32"/>
      <c r="K27" s="33"/>
      <c r="L27" s="32"/>
      <c r="M27" s="32"/>
      <c r="N27" s="32"/>
      <c r="O27" s="32"/>
      <c r="P27" s="32"/>
    </row>
    <row r="28" spans="1:17" ht="18.75" customHeight="1" x14ac:dyDescent="0.25">
      <c r="A28" s="1" t="s">
        <v>33</v>
      </c>
      <c r="Q28" s="1" t="s">
        <v>34</v>
      </c>
    </row>
    <row r="29" spans="1:17" x14ac:dyDescent="0.25">
      <c r="K29" s="35"/>
      <c r="L29" s="35"/>
      <c r="M29" s="35"/>
      <c r="N29" s="35"/>
      <c r="O29" s="35"/>
      <c r="P29" s="35"/>
      <c r="Q29" s="35"/>
    </row>
    <row r="31" spans="1:17" x14ac:dyDescent="0.25">
      <c r="L31" s="36"/>
    </row>
    <row r="32" spans="1:17" x14ac:dyDescent="0.25">
      <c r="L32" s="36"/>
    </row>
    <row r="33" spans="12:17" x14ac:dyDescent="0.25">
      <c r="Q33" s="32"/>
    </row>
    <row r="34" spans="12:17" x14ac:dyDescent="0.25">
      <c r="L34" s="36"/>
      <c r="Q34" s="32"/>
    </row>
    <row r="36" spans="12:17" x14ac:dyDescent="0.25">
      <c r="Q36" s="32"/>
    </row>
    <row r="37" spans="12:17" x14ac:dyDescent="0.25">
      <c r="Q37" s="32"/>
    </row>
  </sheetData>
  <mergeCells count="17">
    <mergeCell ref="M1:Q1"/>
    <mergeCell ref="A2:Q2"/>
    <mergeCell ref="A3:A4"/>
    <mergeCell ref="B3:B4"/>
    <mergeCell ref="C3:C4"/>
    <mergeCell ref="D3:G3"/>
    <mergeCell ref="H3:Q3"/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topLeftCell="C1" zoomScaleNormal="100" zoomScaleSheetLayoutView="100" workbookViewId="0">
      <selection activeCell="S19" sqref="S19"/>
    </sheetView>
  </sheetViews>
  <sheetFormatPr defaultRowHeight="15.75" x14ac:dyDescent="0.25"/>
  <cols>
    <col min="1" max="1" width="7.42578125" style="34" customWidth="1"/>
    <col min="2" max="2" width="79.140625" style="34" customWidth="1"/>
    <col min="3" max="3" width="12" style="34" customWidth="1"/>
    <col min="4" max="4" width="16.28515625" style="34" customWidth="1"/>
    <col min="5" max="5" width="9.140625" style="34" hidden="1" customWidth="1"/>
    <col min="6" max="8" width="11.42578125" style="34" customWidth="1"/>
    <col min="9" max="11" width="11.42578125" style="261" customWidth="1"/>
    <col min="12" max="12" width="11.42578125" style="262" customWidth="1"/>
    <col min="13" max="13" width="11.42578125" style="34" customWidth="1"/>
    <col min="14" max="16384" width="9.140625" style="34"/>
  </cols>
  <sheetData>
    <row r="1" spans="1:14" ht="50.25" customHeight="1" x14ac:dyDescent="0.25">
      <c r="A1" s="69"/>
      <c r="B1" s="70"/>
      <c r="C1" s="71"/>
      <c r="D1" s="70"/>
      <c r="F1" s="465" t="s">
        <v>474</v>
      </c>
      <c r="G1" s="465"/>
      <c r="H1" s="465"/>
      <c r="I1" s="465"/>
      <c r="J1" s="465"/>
      <c r="K1" s="465"/>
      <c r="L1" s="465"/>
    </row>
    <row r="2" spans="1:14" ht="26.25" customHeight="1" x14ac:dyDescent="0.25">
      <c r="A2" s="381" t="s">
        <v>246</v>
      </c>
      <c r="B2" s="381"/>
      <c r="C2" s="381"/>
      <c r="D2" s="381"/>
      <c r="E2" s="381"/>
      <c r="F2" s="381"/>
      <c r="G2" s="381"/>
      <c r="H2" s="381"/>
      <c r="I2" s="381"/>
      <c r="J2" s="257"/>
      <c r="K2" s="257"/>
      <c r="L2" s="257"/>
    </row>
    <row r="3" spans="1:14" ht="53.25" customHeight="1" x14ac:dyDescent="0.25">
      <c r="A3" s="364" t="s">
        <v>89</v>
      </c>
      <c r="B3" s="355" t="s">
        <v>247</v>
      </c>
      <c r="C3" s="355" t="s">
        <v>91</v>
      </c>
      <c r="D3" s="355" t="s">
        <v>93</v>
      </c>
      <c r="E3" s="321" t="s">
        <v>94</v>
      </c>
      <c r="F3" s="321" t="s">
        <v>41</v>
      </c>
      <c r="G3" s="321" t="s">
        <v>42</v>
      </c>
      <c r="H3" s="321" t="s">
        <v>43</v>
      </c>
      <c r="I3" s="321" t="s">
        <v>44</v>
      </c>
      <c r="J3" s="321" t="s">
        <v>45</v>
      </c>
      <c r="K3" s="321" t="s">
        <v>46</v>
      </c>
      <c r="L3" s="321" t="s">
        <v>47</v>
      </c>
      <c r="M3" s="321" t="s">
        <v>48</v>
      </c>
      <c r="N3" s="321" t="s">
        <v>49</v>
      </c>
    </row>
    <row r="4" spans="1:14" s="98" customFormat="1" ht="22.5" customHeight="1" x14ac:dyDescent="0.2">
      <c r="A4" s="364"/>
      <c r="B4" s="355"/>
      <c r="C4" s="355"/>
      <c r="D4" s="355"/>
      <c r="E4" s="321"/>
      <c r="F4" s="321"/>
      <c r="G4" s="321"/>
      <c r="H4" s="321"/>
      <c r="I4" s="321"/>
      <c r="J4" s="321"/>
      <c r="K4" s="321"/>
      <c r="L4" s="321"/>
      <c r="M4" s="321"/>
      <c r="N4" s="321"/>
    </row>
    <row r="5" spans="1:14" ht="21.75" hidden="1" customHeight="1" x14ac:dyDescent="0.25">
      <c r="A5" s="364"/>
      <c r="B5" s="355"/>
      <c r="C5" s="355"/>
      <c r="D5" s="355"/>
      <c r="E5" s="321"/>
      <c r="F5" s="321"/>
      <c r="G5" s="321"/>
      <c r="H5" s="321"/>
      <c r="I5" s="321"/>
      <c r="J5" s="321"/>
      <c r="K5" s="321"/>
      <c r="L5" s="321"/>
      <c r="M5" s="321"/>
      <c r="N5" s="321"/>
    </row>
    <row r="6" spans="1:14" ht="36" customHeight="1" x14ac:dyDescent="0.25">
      <c r="A6" s="379" t="s">
        <v>475</v>
      </c>
      <c r="B6" s="380"/>
      <c r="C6" s="380"/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</row>
    <row r="7" spans="1:14" ht="30" customHeight="1" x14ac:dyDescent="0.25">
      <c r="A7" s="461" t="s">
        <v>476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3"/>
    </row>
    <row r="8" spans="1:14" ht="31.5" x14ac:dyDescent="0.25">
      <c r="A8" s="258" t="s">
        <v>477</v>
      </c>
      <c r="B8" s="109" t="s">
        <v>478</v>
      </c>
      <c r="C8" s="120" t="s">
        <v>97</v>
      </c>
      <c r="D8" s="75" t="s">
        <v>102</v>
      </c>
      <c r="E8" s="77"/>
      <c r="F8" s="76">
        <v>82.9</v>
      </c>
      <c r="G8" s="76">
        <v>82.9</v>
      </c>
      <c r="H8" s="76">
        <v>93.2</v>
      </c>
      <c r="I8" s="76">
        <v>93.7</v>
      </c>
      <c r="J8" s="76">
        <v>94</v>
      </c>
      <c r="K8" s="76">
        <v>94</v>
      </c>
      <c r="L8" s="76">
        <v>94</v>
      </c>
      <c r="M8" s="76">
        <v>94</v>
      </c>
      <c r="N8" s="76">
        <v>94</v>
      </c>
    </row>
    <row r="9" spans="1:14" ht="33.75" customHeight="1" x14ac:dyDescent="0.25">
      <c r="A9" s="461" t="s">
        <v>479</v>
      </c>
      <c r="B9" s="462"/>
      <c r="C9" s="462"/>
      <c r="D9" s="462"/>
      <c r="E9" s="462"/>
      <c r="F9" s="462"/>
      <c r="G9" s="462"/>
      <c r="H9" s="462"/>
      <c r="I9" s="462"/>
      <c r="J9" s="462"/>
      <c r="K9" s="462"/>
      <c r="L9" s="462"/>
      <c r="M9" s="463"/>
    </row>
    <row r="10" spans="1:14" ht="31.5" x14ac:dyDescent="0.25">
      <c r="A10" s="259" t="s">
        <v>480</v>
      </c>
      <c r="B10" s="109" t="s">
        <v>481</v>
      </c>
      <c r="C10" s="120" t="s">
        <v>97</v>
      </c>
      <c r="D10" s="75" t="s">
        <v>102</v>
      </c>
      <c r="E10" s="77"/>
      <c r="F10" s="76">
        <v>73</v>
      </c>
      <c r="G10" s="76">
        <v>74</v>
      </c>
      <c r="H10" s="76">
        <v>89</v>
      </c>
      <c r="I10" s="76">
        <v>90</v>
      </c>
      <c r="J10" s="76">
        <v>92</v>
      </c>
      <c r="K10" s="76">
        <v>95</v>
      </c>
      <c r="L10" s="76">
        <v>95</v>
      </c>
      <c r="M10" s="76">
        <v>95</v>
      </c>
      <c r="N10" s="76">
        <v>95</v>
      </c>
    </row>
    <row r="11" spans="1:14" ht="47.25" x14ac:dyDescent="0.25">
      <c r="A11" s="259" t="s">
        <v>482</v>
      </c>
      <c r="B11" s="109" t="s">
        <v>177</v>
      </c>
      <c r="C11" s="260" t="s">
        <v>97</v>
      </c>
      <c r="D11" s="75" t="s">
        <v>102</v>
      </c>
      <c r="E11" s="75">
        <v>15.6</v>
      </c>
      <c r="F11" s="76">
        <v>70</v>
      </c>
      <c r="G11" s="76">
        <v>70</v>
      </c>
      <c r="H11" s="76">
        <v>95</v>
      </c>
      <c r="I11" s="76">
        <v>97</v>
      </c>
      <c r="J11" s="76">
        <v>97</v>
      </c>
      <c r="K11" s="76">
        <v>98</v>
      </c>
      <c r="L11" s="76">
        <v>98</v>
      </c>
      <c r="M11" s="76">
        <v>98</v>
      </c>
      <c r="N11" s="76">
        <v>98</v>
      </c>
    </row>
    <row r="12" spans="1:14" x14ac:dyDescent="0.25">
      <c r="A12" s="126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</row>
    <row r="13" spans="1:14" x14ac:dyDescent="0.25">
      <c r="A13" s="152" t="s">
        <v>33</v>
      </c>
      <c r="B13" s="152"/>
      <c r="C13" s="152"/>
      <c r="I13" s="464" t="s">
        <v>34</v>
      </c>
      <c r="J13" s="464"/>
      <c r="K13" s="464"/>
      <c r="L13" s="464"/>
    </row>
  </sheetData>
  <mergeCells count="20"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</mergeCells>
  <pageMargins left="0.51181102362204722" right="0.31496062992125984" top="0.55118110236220474" bottom="0.35433070866141736" header="0.31496062992125984" footer="0.31496062992125984"/>
  <pageSetup paperSize="9" scale="65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I40" activePane="bottomRight" state="frozen"/>
      <selection activeCell="Q12" sqref="Q12"/>
      <selection pane="topRight" activeCell="Q12" sqref="Q12"/>
      <selection pane="bottomLeft" activeCell="Q12" sqref="Q12"/>
      <selection pane="bottomRight" activeCell="L58" sqref="L58"/>
    </sheetView>
  </sheetViews>
  <sheetFormatPr defaultColWidth="9.28515625" defaultRowHeight="15.75" x14ac:dyDescent="0.25"/>
  <cols>
    <col min="1" max="1" width="6.5703125" style="188" customWidth="1"/>
    <col min="2" max="2" width="50.42578125" style="34" customWidth="1"/>
    <col min="3" max="3" width="21.7109375" style="189" customWidth="1"/>
    <col min="4" max="5" width="9.28515625" style="189" customWidth="1"/>
    <col min="6" max="6" width="14.85546875" style="189" customWidth="1"/>
    <col min="7" max="7" width="11.28515625" style="189" customWidth="1"/>
    <col min="8" max="8" width="12.7109375" style="189" customWidth="1"/>
    <col min="9" max="16" width="12.7109375" style="34" customWidth="1"/>
    <col min="17" max="17" width="14.7109375" style="34" customWidth="1"/>
    <col min="18" max="18" width="40.140625" style="34" customWidth="1"/>
    <col min="19" max="19" width="12" style="34" customWidth="1"/>
    <col min="20" max="16384" width="9.28515625" style="34"/>
  </cols>
  <sheetData>
    <row r="1" spans="1:19" s="133" customFormat="1" ht="75" customHeight="1" x14ac:dyDescent="0.25">
      <c r="A1" s="155"/>
      <c r="B1" s="156"/>
      <c r="C1" s="157"/>
      <c r="D1" s="157"/>
      <c r="E1" s="157"/>
      <c r="F1" s="157"/>
      <c r="G1" s="157"/>
      <c r="H1" s="157"/>
      <c r="I1" s="491"/>
      <c r="J1" s="491"/>
      <c r="Q1" s="465" t="s">
        <v>483</v>
      </c>
      <c r="R1" s="465"/>
      <c r="S1" s="263"/>
    </row>
    <row r="2" spans="1:19" s="133" customFormat="1" ht="23.25" customHeight="1" x14ac:dyDescent="0.25">
      <c r="A2" s="433" t="s">
        <v>258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</row>
    <row r="3" spans="1:19" s="133" customFormat="1" ht="24.75" customHeight="1" x14ac:dyDescent="0.25">
      <c r="A3" s="321" t="s">
        <v>89</v>
      </c>
      <c r="B3" s="321" t="s">
        <v>259</v>
      </c>
      <c r="C3" s="321" t="s">
        <v>7</v>
      </c>
      <c r="D3" s="492" t="s">
        <v>5</v>
      </c>
      <c r="E3" s="493"/>
      <c r="F3" s="493"/>
      <c r="G3" s="494"/>
      <c r="H3" s="264"/>
      <c r="I3" s="321" t="s">
        <v>6</v>
      </c>
      <c r="J3" s="321"/>
      <c r="K3" s="321"/>
      <c r="L3" s="321"/>
      <c r="M3" s="321"/>
      <c r="N3" s="321"/>
      <c r="O3" s="321"/>
      <c r="P3" s="321"/>
      <c r="Q3" s="321"/>
      <c r="R3" s="321" t="s">
        <v>260</v>
      </c>
    </row>
    <row r="4" spans="1:19" s="133" customFormat="1" ht="42" customHeight="1" x14ac:dyDescent="0.25">
      <c r="A4" s="321"/>
      <c r="B4" s="321"/>
      <c r="C4" s="321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6">
        <v>2020</v>
      </c>
      <c r="O4" s="6">
        <v>2021</v>
      </c>
      <c r="P4" s="6">
        <v>2022</v>
      </c>
      <c r="Q4" s="6" t="s">
        <v>11</v>
      </c>
      <c r="R4" s="321"/>
    </row>
    <row r="5" spans="1:19" ht="26.25" customHeight="1" x14ac:dyDescent="0.25">
      <c r="A5" s="328" t="s">
        <v>475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</row>
    <row r="6" spans="1:19" ht="28.5" hidden="1" customHeight="1" x14ac:dyDescent="0.25">
      <c r="A6" s="265"/>
      <c r="B6" s="20"/>
      <c r="C6" s="6"/>
      <c r="D6" s="159"/>
      <c r="E6" s="6"/>
      <c r="F6" s="159" t="s">
        <v>484</v>
      </c>
      <c r="G6" s="6">
        <v>530</v>
      </c>
      <c r="H6" s="6"/>
      <c r="I6" s="13"/>
      <c r="J6" s="13"/>
      <c r="K6" s="13"/>
      <c r="L6" s="13"/>
      <c r="M6" s="13"/>
      <c r="N6" s="13"/>
      <c r="O6" s="13"/>
      <c r="P6" s="13"/>
      <c r="Q6" s="13">
        <f>SUM(I6:K6)</f>
        <v>0</v>
      </c>
      <c r="R6" s="20"/>
    </row>
    <row r="7" spans="1:19" ht="21.75" customHeight="1" x14ac:dyDescent="0.25">
      <c r="A7" s="423" t="s">
        <v>485</v>
      </c>
      <c r="B7" s="423"/>
      <c r="C7" s="423"/>
      <c r="D7" s="423"/>
      <c r="E7" s="423"/>
      <c r="F7" s="423"/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423"/>
      <c r="R7" s="423"/>
    </row>
    <row r="8" spans="1:19" ht="48" hidden="1" customHeight="1" x14ac:dyDescent="0.25">
      <c r="A8" s="424" t="s">
        <v>486</v>
      </c>
      <c r="B8" s="488" t="s">
        <v>487</v>
      </c>
      <c r="C8" s="316" t="s">
        <v>17</v>
      </c>
      <c r="D8" s="6">
        <v>975</v>
      </c>
      <c r="E8" s="159" t="s">
        <v>316</v>
      </c>
      <c r="F8" s="159" t="s">
        <v>488</v>
      </c>
      <c r="G8" s="159" t="s">
        <v>267</v>
      </c>
      <c r="H8" s="159"/>
      <c r="I8" s="20"/>
      <c r="J8" s="6"/>
      <c r="K8" s="266"/>
      <c r="L8" s="266"/>
      <c r="M8" s="266"/>
      <c r="N8" s="266"/>
      <c r="O8" s="266"/>
      <c r="P8" s="266"/>
      <c r="Q8" s="13">
        <f>SUM(G8:N8)</f>
        <v>0</v>
      </c>
      <c r="R8" s="267" t="s">
        <v>489</v>
      </c>
    </row>
    <row r="9" spans="1:19" ht="56.25" customHeight="1" x14ac:dyDescent="0.25">
      <c r="A9" s="425"/>
      <c r="B9" s="489"/>
      <c r="C9" s="317"/>
      <c r="D9" s="268" t="s">
        <v>18</v>
      </c>
      <c r="E9" s="268" t="s">
        <v>316</v>
      </c>
      <c r="F9" s="159" t="s">
        <v>488</v>
      </c>
      <c r="G9" s="6">
        <v>622</v>
      </c>
      <c r="H9" s="13">
        <v>97.2</v>
      </c>
      <c r="I9" s="13"/>
      <c r="J9" s="269"/>
      <c r="L9" s="13"/>
      <c r="M9" s="13"/>
      <c r="N9" s="13"/>
      <c r="O9" s="13"/>
      <c r="P9" s="13">
        <f>O9</f>
        <v>0</v>
      </c>
      <c r="Q9" s="13">
        <f>SUM(H9:P9)</f>
        <v>97.2</v>
      </c>
      <c r="R9" s="398" t="s">
        <v>490</v>
      </c>
    </row>
    <row r="10" spans="1:19" ht="73.900000000000006" customHeight="1" x14ac:dyDescent="0.25">
      <c r="A10" s="426"/>
      <c r="B10" s="490"/>
      <c r="C10" s="335"/>
      <c r="D10" s="268" t="s">
        <v>18</v>
      </c>
      <c r="E10" s="268" t="s">
        <v>316</v>
      </c>
      <c r="F10" s="159" t="s">
        <v>491</v>
      </c>
      <c r="G10" s="6">
        <v>244</v>
      </c>
      <c r="H10" s="13"/>
      <c r="I10" s="13">
        <v>96</v>
      </c>
      <c r="J10" s="13">
        <v>87.9</v>
      </c>
      <c r="K10" s="13">
        <v>110.6</v>
      </c>
      <c r="L10" s="13">
        <v>175</v>
      </c>
      <c r="M10" s="13">
        <v>201.4</v>
      </c>
      <c r="N10" s="13"/>
      <c r="O10" s="13"/>
      <c r="P10" s="13"/>
      <c r="Q10" s="13">
        <f t="shared" ref="Q10:Q23" si="0">SUM(H10:P10)</f>
        <v>670.9</v>
      </c>
      <c r="R10" s="399"/>
    </row>
    <row r="11" spans="1:19" ht="99" customHeight="1" x14ac:dyDescent="0.25">
      <c r="A11" s="159" t="s">
        <v>251</v>
      </c>
      <c r="B11" s="20" t="s">
        <v>492</v>
      </c>
      <c r="C11" s="6" t="s">
        <v>17</v>
      </c>
      <c r="D11" s="268" t="s">
        <v>18</v>
      </c>
      <c r="E11" s="268" t="s">
        <v>316</v>
      </c>
      <c r="F11" s="159" t="s">
        <v>488</v>
      </c>
      <c r="G11" s="6">
        <v>612</v>
      </c>
      <c r="H11" s="13">
        <v>214.3</v>
      </c>
      <c r="I11" s="13">
        <v>214.3</v>
      </c>
      <c r="J11" s="270"/>
      <c r="K11" s="271"/>
      <c r="L11" s="271"/>
      <c r="M11" s="271"/>
      <c r="N11" s="271"/>
      <c r="O11" s="271"/>
      <c r="P11" s="13">
        <f t="shared" ref="P11:P23" si="1">O11</f>
        <v>0</v>
      </c>
      <c r="Q11" s="13">
        <f t="shared" si="0"/>
        <v>428.6</v>
      </c>
      <c r="R11" s="235" t="s">
        <v>493</v>
      </c>
      <c r="S11" s="34">
        <v>2</v>
      </c>
    </row>
    <row r="12" spans="1:19" ht="54.75" customHeight="1" x14ac:dyDescent="0.25">
      <c r="A12" s="405" t="s">
        <v>252</v>
      </c>
      <c r="B12" s="485" t="s">
        <v>494</v>
      </c>
      <c r="C12" s="316" t="s">
        <v>17</v>
      </c>
      <c r="D12" s="272" t="s">
        <v>18</v>
      </c>
      <c r="E12" s="272" t="s">
        <v>316</v>
      </c>
      <c r="F12" s="272" t="s">
        <v>488</v>
      </c>
      <c r="G12" s="6">
        <v>622</v>
      </c>
      <c r="H12" s="13">
        <f>6.8</f>
        <v>6.8</v>
      </c>
      <c r="I12" s="13"/>
      <c r="J12" s="13"/>
      <c r="K12" s="13"/>
      <c r="L12" s="13"/>
      <c r="M12" s="13"/>
      <c r="N12" s="13"/>
      <c r="O12" s="13"/>
      <c r="P12" s="13">
        <f t="shared" si="1"/>
        <v>0</v>
      </c>
      <c r="Q12" s="13">
        <f t="shared" si="0"/>
        <v>6.8</v>
      </c>
      <c r="R12" s="398" t="s">
        <v>495</v>
      </c>
    </row>
    <row r="13" spans="1:19" ht="42.75" customHeight="1" x14ac:dyDescent="0.25">
      <c r="A13" s="406"/>
      <c r="B13" s="486"/>
      <c r="C13" s="335"/>
      <c r="D13" s="272" t="s">
        <v>18</v>
      </c>
      <c r="E13" s="272" t="s">
        <v>316</v>
      </c>
      <c r="F13" s="272" t="s">
        <v>488</v>
      </c>
      <c r="G13" s="273">
        <v>244</v>
      </c>
      <c r="H13" s="13"/>
      <c r="I13" s="13">
        <v>6.8</v>
      </c>
      <c r="J13" s="13"/>
      <c r="K13" s="13"/>
      <c r="L13" s="13"/>
      <c r="M13" s="13"/>
      <c r="N13" s="13"/>
      <c r="O13" s="13"/>
      <c r="P13" s="13">
        <f t="shared" si="1"/>
        <v>0</v>
      </c>
      <c r="Q13" s="13">
        <f t="shared" si="0"/>
        <v>6.8</v>
      </c>
      <c r="R13" s="399"/>
    </row>
    <row r="14" spans="1:19" ht="53.25" customHeight="1" x14ac:dyDescent="0.25">
      <c r="A14" s="424" t="s">
        <v>254</v>
      </c>
      <c r="B14" s="485" t="s">
        <v>496</v>
      </c>
      <c r="C14" s="316" t="s">
        <v>17</v>
      </c>
      <c r="D14" s="272" t="s">
        <v>18</v>
      </c>
      <c r="E14" s="272" t="s">
        <v>316</v>
      </c>
      <c r="F14" s="272" t="s">
        <v>497</v>
      </c>
      <c r="G14" s="273" t="s">
        <v>498</v>
      </c>
      <c r="H14" s="6">
        <v>1367.3</v>
      </c>
      <c r="I14" s="13">
        <v>1367.3</v>
      </c>
      <c r="J14" s="13">
        <v>1309.4000000000001</v>
      </c>
      <c r="K14" s="13">
        <f>1648.2</f>
        <v>1648.2</v>
      </c>
      <c r="L14" s="13">
        <v>1812.7</v>
      </c>
      <c r="M14" s="13"/>
      <c r="N14" s="13"/>
      <c r="O14" s="13"/>
      <c r="P14" s="13">
        <f t="shared" si="1"/>
        <v>0</v>
      </c>
      <c r="Q14" s="13">
        <f t="shared" si="0"/>
        <v>7504.9</v>
      </c>
      <c r="R14" s="398" t="s">
        <v>499</v>
      </c>
    </row>
    <row r="15" spans="1:19" ht="49.5" customHeight="1" x14ac:dyDescent="0.25">
      <c r="A15" s="425"/>
      <c r="B15" s="486"/>
      <c r="C15" s="317"/>
      <c r="D15" s="272" t="s">
        <v>18</v>
      </c>
      <c r="E15" s="272" t="s">
        <v>316</v>
      </c>
      <c r="F15" s="272" t="s">
        <v>500</v>
      </c>
      <c r="G15" s="273">
        <v>622</v>
      </c>
      <c r="H15" s="6">
        <v>344.4</v>
      </c>
      <c r="I15" s="13">
        <v>344.4</v>
      </c>
      <c r="J15" s="13">
        <v>338.1</v>
      </c>
      <c r="K15" s="274">
        <v>0</v>
      </c>
      <c r="L15" s="13"/>
      <c r="M15" s="13"/>
      <c r="N15" s="13"/>
      <c r="O15" s="13"/>
      <c r="P15" s="13">
        <f t="shared" si="1"/>
        <v>0</v>
      </c>
      <c r="Q15" s="13">
        <f t="shared" si="0"/>
        <v>1026.9000000000001</v>
      </c>
      <c r="R15" s="487"/>
    </row>
    <row r="16" spans="1:19" ht="46.5" customHeight="1" x14ac:dyDescent="0.25">
      <c r="A16" s="425"/>
      <c r="B16" s="485" t="s">
        <v>501</v>
      </c>
      <c r="C16" s="317"/>
      <c r="D16" s="272" t="s">
        <v>18</v>
      </c>
      <c r="E16" s="272" t="s">
        <v>316</v>
      </c>
      <c r="F16" s="272" t="s">
        <v>502</v>
      </c>
      <c r="G16" s="273" t="s">
        <v>503</v>
      </c>
      <c r="H16" s="6">
        <v>1.4</v>
      </c>
      <c r="I16" s="13">
        <v>286.10000000000002</v>
      </c>
      <c r="J16" s="13">
        <v>746.2</v>
      </c>
      <c r="K16" s="13">
        <v>358.1</v>
      </c>
      <c r="L16" s="13">
        <v>358.1</v>
      </c>
      <c r="M16" s="13">
        <v>401.7</v>
      </c>
      <c r="N16" s="13">
        <f>338.1+79.3</f>
        <v>417.40000000000003</v>
      </c>
      <c r="O16" s="13">
        <f>338.1+79.3</f>
        <v>417.40000000000003</v>
      </c>
      <c r="P16" s="13">
        <f>338.1+79.3</f>
        <v>417.40000000000003</v>
      </c>
      <c r="Q16" s="13">
        <f t="shared" si="0"/>
        <v>3403.8</v>
      </c>
      <c r="R16" s="487"/>
    </row>
    <row r="17" spans="1:19" ht="53.25" customHeight="1" x14ac:dyDescent="0.25">
      <c r="A17" s="425"/>
      <c r="B17" s="486"/>
      <c r="C17" s="317"/>
      <c r="D17" s="272" t="s">
        <v>18</v>
      </c>
      <c r="E17" s="272" t="s">
        <v>316</v>
      </c>
      <c r="F17" s="272" t="s">
        <v>504</v>
      </c>
      <c r="G17" s="273" t="s">
        <v>505</v>
      </c>
      <c r="H17" s="6">
        <v>0.4</v>
      </c>
      <c r="I17" s="13">
        <v>72.099999999999994</v>
      </c>
      <c r="J17" s="13">
        <v>73.5</v>
      </c>
      <c r="K17" s="13">
        <v>580.79999999999995</v>
      </c>
      <c r="L17" s="13">
        <v>516.5</v>
      </c>
      <c r="M17" s="13">
        <v>579.79999999999995</v>
      </c>
      <c r="N17" s="13">
        <v>824.6</v>
      </c>
      <c r="O17" s="13">
        <v>824.6</v>
      </c>
      <c r="P17" s="13">
        <v>824.6</v>
      </c>
      <c r="Q17" s="13">
        <f t="shared" si="0"/>
        <v>4296.8999999999996</v>
      </c>
      <c r="R17" s="487"/>
    </row>
    <row r="18" spans="1:19" ht="62.25" customHeight="1" x14ac:dyDescent="0.25">
      <c r="A18" s="426"/>
      <c r="B18" s="275" t="s">
        <v>506</v>
      </c>
      <c r="C18" s="335"/>
      <c r="D18" s="272" t="s">
        <v>18</v>
      </c>
      <c r="E18" s="272" t="s">
        <v>316</v>
      </c>
      <c r="F18" s="272" t="s">
        <v>15</v>
      </c>
      <c r="G18" s="272" t="s">
        <v>15</v>
      </c>
      <c r="H18" s="13">
        <v>533</v>
      </c>
      <c r="I18" s="13">
        <v>705.2</v>
      </c>
      <c r="J18" s="13">
        <v>691.4</v>
      </c>
      <c r="K18" s="13">
        <v>691.4</v>
      </c>
      <c r="L18" s="13">
        <v>691.4</v>
      </c>
      <c r="M18" s="13">
        <f>579.8+201.4</f>
        <v>781.19999999999993</v>
      </c>
      <c r="N18" s="13">
        <v>0</v>
      </c>
      <c r="O18" s="13">
        <v>0</v>
      </c>
      <c r="P18" s="13">
        <v>0</v>
      </c>
      <c r="Q18" s="13">
        <f t="shared" si="0"/>
        <v>4093.6</v>
      </c>
      <c r="R18" s="399"/>
    </row>
    <row r="19" spans="1:19" ht="95.45" customHeight="1" x14ac:dyDescent="0.25">
      <c r="A19" s="276"/>
      <c r="B19" s="275" t="s">
        <v>507</v>
      </c>
      <c r="C19" s="6" t="s">
        <v>17</v>
      </c>
      <c r="D19" s="272" t="s">
        <v>18</v>
      </c>
      <c r="E19" s="272" t="s">
        <v>316</v>
      </c>
      <c r="F19" s="272" t="s">
        <v>508</v>
      </c>
      <c r="G19" s="272" t="s">
        <v>509</v>
      </c>
      <c r="H19" s="13"/>
      <c r="I19" s="13"/>
      <c r="J19" s="13"/>
      <c r="K19" s="13"/>
      <c r="L19" s="13"/>
      <c r="M19" s="13"/>
      <c r="N19" s="13"/>
      <c r="O19" s="13"/>
      <c r="P19" s="13">
        <f t="shared" si="1"/>
        <v>0</v>
      </c>
      <c r="Q19" s="13">
        <f t="shared" si="0"/>
        <v>0</v>
      </c>
      <c r="R19" s="277"/>
    </row>
    <row r="20" spans="1:19" ht="129.75" customHeight="1" x14ac:dyDescent="0.25">
      <c r="A20" s="265" t="s">
        <v>328</v>
      </c>
      <c r="B20" s="278" t="s">
        <v>510</v>
      </c>
      <c r="C20" s="6" t="s">
        <v>17</v>
      </c>
      <c r="D20" s="159" t="s">
        <v>18</v>
      </c>
      <c r="E20" s="159" t="s">
        <v>316</v>
      </c>
      <c r="F20" s="159" t="s">
        <v>511</v>
      </c>
      <c r="G20" s="159" t="s">
        <v>512</v>
      </c>
      <c r="H20" s="13">
        <v>2887.9</v>
      </c>
      <c r="I20" s="13">
        <v>3076.7</v>
      </c>
      <c r="J20" s="13">
        <v>2913.1</v>
      </c>
      <c r="K20" s="13">
        <v>2917.5</v>
      </c>
      <c r="L20" s="13">
        <v>3303.7</v>
      </c>
      <c r="M20" s="13">
        <v>5258.7</v>
      </c>
      <c r="N20" s="13">
        <v>5927.4</v>
      </c>
      <c r="O20" s="13">
        <v>5927.4</v>
      </c>
      <c r="P20" s="13">
        <v>5927.4</v>
      </c>
      <c r="Q20" s="13">
        <f t="shared" si="0"/>
        <v>38139.800000000003</v>
      </c>
      <c r="R20" s="279" t="s">
        <v>513</v>
      </c>
      <c r="S20" s="34">
        <v>4</v>
      </c>
    </row>
    <row r="21" spans="1:19" ht="140.25" customHeight="1" x14ac:dyDescent="0.25">
      <c r="A21" s="265" t="s">
        <v>514</v>
      </c>
      <c r="B21" s="278" t="s">
        <v>515</v>
      </c>
      <c r="C21" s="6" t="s">
        <v>17</v>
      </c>
      <c r="D21" s="159" t="s">
        <v>18</v>
      </c>
      <c r="E21" s="159" t="s">
        <v>316</v>
      </c>
      <c r="F21" s="159" t="s">
        <v>516</v>
      </c>
      <c r="G21" s="159" t="s">
        <v>295</v>
      </c>
      <c r="H21" s="13">
        <v>1476.3</v>
      </c>
      <c r="I21" s="13">
        <v>1534.3</v>
      </c>
      <c r="J21" s="13">
        <v>1254.8</v>
      </c>
      <c r="K21" s="13">
        <v>1265.7</v>
      </c>
      <c r="L21" s="13">
        <v>1123.4000000000001</v>
      </c>
      <c r="M21" s="13">
        <v>1171.3</v>
      </c>
      <c r="N21" s="280">
        <f>1334.1+3.1</f>
        <v>1337.1999999999998</v>
      </c>
      <c r="O21" s="13">
        <v>1284</v>
      </c>
      <c r="P21" s="13">
        <v>1284</v>
      </c>
      <c r="Q21" s="13">
        <f t="shared" si="0"/>
        <v>11731</v>
      </c>
      <c r="R21" s="279" t="s">
        <v>517</v>
      </c>
    </row>
    <row r="22" spans="1:19" ht="140.25" hidden="1" customHeight="1" x14ac:dyDescent="0.25">
      <c r="A22" s="265" t="s">
        <v>518</v>
      </c>
      <c r="B22" s="278" t="s">
        <v>519</v>
      </c>
      <c r="C22" s="6" t="s">
        <v>17</v>
      </c>
      <c r="D22" s="159"/>
      <c r="E22" s="159"/>
      <c r="F22" s="159"/>
      <c r="G22" s="159"/>
      <c r="H22" s="13"/>
      <c r="I22" s="13"/>
      <c r="J22" s="281"/>
      <c r="K22" s="13"/>
      <c r="L22" s="13"/>
      <c r="M22" s="13"/>
      <c r="N22" s="13"/>
      <c r="O22" s="13"/>
      <c r="P22" s="13">
        <f t="shared" si="1"/>
        <v>0</v>
      </c>
      <c r="Q22" s="13">
        <f t="shared" si="0"/>
        <v>0</v>
      </c>
      <c r="R22" s="171"/>
    </row>
    <row r="23" spans="1:19" ht="21" customHeight="1" x14ac:dyDescent="0.25">
      <c r="A23" s="448" t="s">
        <v>319</v>
      </c>
      <c r="B23" s="448"/>
      <c r="C23" s="282"/>
      <c r="D23" s="282"/>
      <c r="E23" s="282"/>
      <c r="F23" s="282"/>
      <c r="G23" s="282"/>
      <c r="H23" s="13">
        <f>SUM(H9:H22)</f>
        <v>6929.0000000000009</v>
      </c>
      <c r="I23" s="13">
        <f>SUM(I9:I22)</f>
        <v>7703.2</v>
      </c>
      <c r="J23" s="13">
        <f>SUM(J9:J22)</f>
        <v>7414.4000000000005</v>
      </c>
      <c r="K23" s="13">
        <f>SUM(K8:K22)</f>
        <v>7572.3</v>
      </c>
      <c r="L23" s="13">
        <f>SUM(L8:L22)</f>
        <v>7980.7999999999993</v>
      </c>
      <c r="M23" s="13">
        <f>SUM(M8:M22)</f>
        <v>8394.0999999999985</v>
      </c>
      <c r="N23" s="13">
        <f>SUM(N8:N22)</f>
        <v>8506.5999999999985</v>
      </c>
      <c r="O23" s="13">
        <f>SUM(O8:O22)</f>
        <v>8453.4</v>
      </c>
      <c r="P23" s="13">
        <f t="shared" si="1"/>
        <v>8453.4</v>
      </c>
      <c r="Q23" s="13">
        <f t="shared" si="0"/>
        <v>71407.199999999997</v>
      </c>
      <c r="R23" s="24"/>
    </row>
    <row r="24" spans="1:19" s="250" customFormat="1" ht="30" customHeight="1" x14ac:dyDescent="0.2">
      <c r="A24" s="484" t="s">
        <v>479</v>
      </c>
      <c r="B24" s="484"/>
      <c r="C24" s="484"/>
      <c r="D24" s="484"/>
      <c r="E24" s="484"/>
      <c r="F24" s="484"/>
      <c r="G24" s="484"/>
      <c r="H24" s="484"/>
      <c r="I24" s="484"/>
      <c r="J24" s="484"/>
      <c r="K24" s="484"/>
      <c r="L24" s="484"/>
      <c r="M24" s="484"/>
      <c r="N24" s="484"/>
      <c r="O24" s="484"/>
      <c r="P24" s="484"/>
      <c r="Q24" s="484"/>
      <c r="R24" s="484"/>
    </row>
    <row r="25" spans="1:19" ht="35.1" customHeight="1" x14ac:dyDescent="0.25">
      <c r="A25" s="469" t="s">
        <v>330</v>
      </c>
      <c r="B25" s="473" t="s">
        <v>520</v>
      </c>
      <c r="C25" s="339" t="s">
        <v>17</v>
      </c>
      <c r="D25" s="163" t="s">
        <v>18</v>
      </c>
      <c r="E25" s="163" t="s">
        <v>316</v>
      </c>
      <c r="F25" s="163" t="s">
        <v>488</v>
      </c>
      <c r="G25" s="163" t="s">
        <v>297</v>
      </c>
      <c r="H25" s="12">
        <v>18.7</v>
      </c>
      <c r="I25" s="12"/>
      <c r="J25" s="12"/>
      <c r="K25" s="24"/>
      <c r="L25" s="24"/>
      <c r="M25" s="24"/>
      <c r="N25" s="24"/>
      <c r="O25" s="24"/>
      <c r="P25" s="24">
        <f>O25</f>
        <v>0</v>
      </c>
      <c r="Q25" s="283">
        <f>SUM(H25:P25)</f>
        <v>18.7</v>
      </c>
      <c r="R25" s="473" t="s">
        <v>521</v>
      </c>
    </row>
    <row r="26" spans="1:19" ht="35.1" customHeight="1" x14ac:dyDescent="0.25">
      <c r="A26" s="470"/>
      <c r="B26" s="474"/>
      <c r="C26" s="378"/>
      <c r="D26" s="163" t="s">
        <v>18</v>
      </c>
      <c r="E26" s="163" t="s">
        <v>316</v>
      </c>
      <c r="F26" s="163" t="s">
        <v>488</v>
      </c>
      <c r="G26" s="163" t="s">
        <v>267</v>
      </c>
      <c r="H26" s="12"/>
      <c r="I26" s="12">
        <v>18.7</v>
      </c>
      <c r="J26" s="12"/>
      <c r="K26" s="271"/>
      <c r="L26" s="271"/>
      <c r="M26" s="271"/>
      <c r="N26" s="271"/>
      <c r="O26" s="271"/>
      <c r="P26" s="24">
        <f t="shared" ref="P26:P38" si="2">O26</f>
        <v>0</v>
      </c>
      <c r="Q26" s="283">
        <f t="shared" ref="Q26:Q38" si="3">SUM(H26:P26)</f>
        <v>18.7</v>
      </c>
      <c r="R26" s="474"/>
    </row>
    <row r="27" spans="1:19" ht="35.1" customHeight="1" x14ac:dyDescent="0.25">
      <c r="A27" s="469" t="s">
        <v>331</v>
      </c>
      <c r="B27" s="471" t="s">
        <v>522</v>
      </c>
      <c r="C27" s="339" t="s">
        <v>17</v>
      </c>
      <c r="D27" s="163" t="s">
        <v>18</v>
      </c>
      <c r="E27" s="163" t="s">
        <v>316</v>
      </c>
      <c r="F27" s="163" t="s">
        <v>488</v>
      </c>
      <c r="G27" s="163" t="s">
        <v>297</v>
      </c>
      <c r="H27" s="283">
        <v>13.05</v>
      </c>
      <c r="I27" s="12"/>
      <c r="J27" s="12"/>
      <c r="K27" s="13"/>
      <c r="L27" s="13"/>
      <c r="M27" s="13"/>
      <c r="N27" s="13"/>
      <c r="O27" s="13"/>
      <c r="P27" s="24">
        <f t="shared" si="2"/>
        <v>0</v>
      </c>
      <c r="Q27" s="283">
        <f t="shared" si="3"/>
        <v>13.05</v>
      </c>
      <c r="R27" s="473" t="s">
        <v>523</v>
      </c>
    </row>
    <row r="28" spans="1:19" ht="35.1" customHeight="1" x14ac:dyDescent="0.25">
      <c r="A28" s="470"/>
      <c r="B28" s="472"/>
      <c r="C28" s="378"/>
      <c r="D28" s="163" t="s">
        <v>18</v>
      </c>
      <c r="E28" s="163" t="s">
        <v>316</v>
      </c>
      <c r="F28" s="169" t="s">
        <v>488</v>
      </c>
      <c r="G28" s="169" t="s">
        <v>267</v>
      </c>
      <c r="H28" s="283">
        <v>16.25</v>
      </c>
      <c r="I28" s="283">
        <v>29.3</v>
      </c>
      <c r="J28" s="283"/>
      <c r="K28" s="271"/>
      <c r="L28" s="271"/>
      <c r="M28" s="271"/>
      <c r="N28" s="271"/>
      <c r="O28" s="271"/>
      <c r="P28" s="24">
        <f t="shared" si="2"/>
        <v>0</v>
      </c>
      <c r="Q28" s="283">
        <f t="shared" si="3"/>
        <v>45.55</v>
      </c>
      <c r="R28" s="474"/>
    </row>
    <row r="29" spans="1:19" ht="35.1" customHeight="1" x14ac:dyDescent="0.25">
      <c r="A29" s="475" t="s">
        <v>332</v>
      </c>
      <c r="B29" s="478" t="s">
        <v>524</v>
      </c>
      <c r="C29" s="339" t="s">
        <v>17</v>
      </c>
      <c r="D29" s="163" t="s">
        <v>18</v>
      </c>
      <c r="E29" s="139" t="s">
        <v>316</v>
      </c>
      <c r="F29" s="169" t="s">
        <v>488</v>
      </c>
      <c r="G29" s="169" t="s">
        <v>297</v>
      </c>
      <c r="H29" s="23">
        <v>13.7</v>
      </c>
      <c r="I29" s="23"/>
      <c r="J29" s="23"/>
      <c r="K29" s="23"/>
      <c r="L29" s="23"/>
      <c r="M29" s="23"/>
      <c r="N29" s="23"/>
      <c r="O29" s="23"/>
      <c r="P29" s="24">
        <f t="shared" si="2"/>
        <v>0</v>
      </c>
      <c r="Q29" s="283">
        <f t="shared" si="3"/>
        <v>13.7</v>
      </c>
      <c r="R29" s="481"/>
    </row>
    <row r="30" spans="1:19" ht="35.1" customHeight="1" x14ac:dyDescent="0.25">
      <c r="A30" s="476"/>
      <c r="B30" s="479"/>
      <c r="C30" s="340"/>
      <c r="D30" s="163" t="s">
        <v>18</v>
      </c>
      <c r="E30" s="284" t="s">
        <v>316</v>
      </c>
      <c r="F30" s="169" t="s">
        <v>488</v>
      </c>
      <c r="G30" s="169" t="s">
        <v>267</v>
      </c>
      <c r="H30" s="23"/>
      <c r="I30" s="23">
        <v>13.7</v>
      </c>
      <c r="J30" s="23"/>
      <c r="K30" s="23"/>
      <c r="L30" s="23"/>
      <c r="M30" s="23"/>
      <c r="N30" s="23"/>
      <c r="O30" s="23"/>
      <c r="P30" s="24">
        <f t="shared" si="2"/>
        <v>0</v>
      </c>
      <c r="Q30" s="283">
        <f t="shared" si="3"/>
        <v>13.7</v>
      </c>
      <c r="R30" s="482"/>
    </row>
    <row r="31" spans="1:19" ht="35.1" customHeight="1" x14ac:dyDescent="0.25">
      <c r="A31" s="476"/>
      <c r="B31" s="479"/>
      <c r="C31" s="340"/>
      <c r="D31" s="163" t="s">
        <v>18</v>
      </c>
      <c r="E31" s="139" t="s">
        <v>316</v>
      </c>
      <c r="F31" s="169" t="s">
        <v>525</v>
      </c>
      <c r="G31" s="169" t="s">
        <v>526</v>
      </c>
      <c r="H31" s="23"/>
      <c r="I31" s="23"/>
      <c r="J31" s="23"/>
      <c r="K31" s="21">
        <v>83</v>
      </c>
      <c r="L31" s="21"/>
      <c r="M31" s="21"/>
      <c r="N31" s="21"/>
      <c r="O31" s="21"/>
      <c r="P31" s="24">
        <f t="shared" si="2"/>
        <v>0</v>
      </c>
      <c r="Q31" s="283">
        <f t="shared" si="3"/>
        <v>83</v>
      </c>
      <c r="R31" s="482"/>
    </row>
    <row r="32" spans="1:19" ht="35.1" customHeight="1" x14ac:dyDescent="0.25">
      <c r="A32" s="476"/>
      <c r="B32" s="479"/>
      <c r="C32" s="340"/>
      <c r="D32" s="163" t="s">
        <v>18</v>
      </c>
      <c r="E32" s="284" t="s">
        <v>316</v>
      </c>
      <c r="F32" s="169" t="s">
        <v>525</v>
      </c>
      <c r="G32" s="169" t="s">
        <v>267</v>
      </c>
      <c r="H32" s="23"/>
      <c r="I32" s="23"/>
      <c r="J32" s="23"/>
      <c r="K32" s="21">
        <v>371.8</v>
      </c>
      <c r="L32" s="21"/>
      <c r="M32" s="21"/>
      <c r="N32" s="21"/>
      <c r="O32" s="21"/>
      <c r="P32" s="24">
        <f t="shared" si="2"/>
        <v>0</v>
      </c>
      <c r="Q32" s="283">
        <f t="shared" si="3"/>
        <v>371.8</v>
      </c>
      <c r="R32" s="482"/>
    </row>
    <row r="33" spans="1:18" ht="35.1" customHeight="1" x14ac:dyDescent="0.25">
      <c r="A33" s="477"/>
      <c r="B33" s="480"/>
      <c r="C33" s="378"/>
      <c r="D33" s="163" t="s">
        <v>18</v>
      </c>
      <c r="E33" s="139" t="s">
        <v>316</v>
      </c>
      <c r="F33" s="169" t="s">
        <v>527</v>
      </c>
      <c r="G33" s="169" t="s">
        <v>269</v>
      </c>
      <c r="H33" s="23"/>
      <c r="I33" s="23"/>
      <c r="J33" s="23"/>
      <c r="K33" s="21">
        <v>31.2</v>
      </c>
      <c r="L33" s="21"/>
      <c r="M33" s="21"/>
      <c r="N33" s="21"/>
      <c r="O33" s="21"/>
      <c r="P33" s="24">
        <f t="shared" si="2"/>
        <v>0</v>
      </c>
      <c r="Q33" s="283">
        <f t="shared" si="3"/>
        <v>31.2</v>
      </c>
      <c r="R33" s="483"/>
    </row>
    <row r="34" spans="1:18" s="98" customFormat="1" ht="35.1" customHeight="1" x14ac:dyDescent="0.25">
      <c r="A34" s="467" t="s">
        <v>438</v>
      </c>
      <c r="B34" s="467"/>
      <c r="C34" s="285"/>
      <c r="D34" s="285"/>
      <c r="E34" s="285"/>
      <c r="F34" s="285"/>
      <c r="G34" s="285"/>
      <c r="H34" s="13">
        <f>H25+H26+H27+H28+H29+H30</f>
        <v>61.7</v>
      </c>
      <c r="I34" s="13">
        <f>I25+I26+I27+I28+I29+I30</f>
        <v>61.7</v>
      </c>
      <c r="J34" s="13">
        <f>J25+J26+J27+J28+J29+J30</f>
        <v>0</v>
      </c>
      <c r="K34" s="13">
        <f>SUM(K26:K33)</f>
        <v>486</v>
      </c>
      <c r="L34" s="13">
        <f>SUM(L26:L33)</f>
        <v>0</v>
      </c>
      <c r="M34" s="13">
        <f>SUM(M26:M33)</f>
        <v>0</v>
      </c>
      <c r="N34" s="13">
        <f>SUM(N26:N33)</f>
        <v>0</v>
      </c>
      <c r="O34" s="13"/>
      <c r="P34" s="24">
        <f t="shared" si="2"/>
        <v>0</v>
      </c>
      <c r="Q34" s="283">
        <f t="shared" si="3"/>
        <v>609.4</v>
      </c>
      <c r="R34" s="21"/>
    </row>
    <row r="35" spans="1:18" ht="35.1" customHeight="1" x14ac:dyDescent="0.25">
      <c r="A35" s="452" t="s">
        <v>320</v>
      </c>
      <c r="B35" s="452"/>
      <c r="C35" s="177"/>
      <c r="D35" s="177"/>
      <c r="E35" s="177"/>
      <c r="F35" s="177"/>
      <c r="G35" s="177"/>
      <c r="H35" s="13">
        <f t="shared" ref="H35:M35" si="4">H23+H34</f>
        <v>6990.7000000000007</v>
      </c>
      <c r="I35" s="13">
        <f t="shared" si="4"/>
        <v>7764.9</v>
      </c>
      <c r="J35" s="13">
        <f t="shared" si="4"/>
        <v>7414.4000000000005</v>
      </c>
      <c r="K35" s="13">
        <f>K23+K34</f>
        <v>8058.3</v>
      </c>
      <c r="L35" s="13">
        <f t="shared" si="4"/>
        <v>7980.7999999999993</v>
      </c>
      <c r="M35" s="13">
        <f t="shared" si="4"/>
        <v>8394.0999999999985</v>
      </c>
      <c r="N35" s="13">
        <f>N23+N34</f>
        <v>8506.5999999999985</v>
      </c>
      <c r="O35" s="13">
        <f>O23+O34</f>
        <v>8453.4</v>
      </c>
      <c r="P35" s="64">
        <f t="shared" si="2"/>
        <v>8453.4</v>
      </c>
      <c r="Q35" s="283">
        <f t="shared" si="3"/>
        <v>72016.599999999991</v>
      </c>
      <c r="R35" s="24"/>
    </row>
    <row r="36" spans="1:18" ht="35.1" customHeight="1" x14ac:dyDescent="0.25">
      <c r="A36" s="392" t="s">
        <v>321</v>
      </c>
      <c r="B36" s="393"/>
      <c r="C36" s="177"/>
      <c r="D36" s="177"/>
      <c r="E36" s="177"/>
      <c r="F36" s="177"/>
      <c r="G36" s="177"/>
      <c r="H36" s="13">
        <f>H14+H15+H20</f>
        <v>4599.6000000000004</v>
      </c>
      <c r="I36" s="13">
        <f>I14+I15+I20</f>
        <v>4788.3999999999996</v>
      </c>
      <c r="J36" s="13">
        <f>J14+J15+J20</f>
        <v>4560.6000000000004</v>
      </c>
      <c r="K36" s="13">
        <f>K14+K15+K20</f>
        <v>4565.7</v>
      </c>
      <c r="L36" s="13">
        <f>L14+L15+L20+L19</f>
        <v>5116.3999999999996</v>
      </c>
      <c r="M36" s="13">
        <f>M14+M15+M20+M19</f>
        <v>5258.7</v>
      </c>
      <c r="N36" s="13">
        <f>N14+N15+N20+N19</f>
        <v>5927.4</v>
      </c>
      <c r="O36" s="13">
        <f>O14+O15+O20+O19</f>
        <v>5927.4</v>
      </c>
      <c r="P36" s="64">
        <f t="shared" si="2"/>
        <v>5927.4</v>
      </c>
      <c r="Q36" s="283">
        <f t="shared" si="3"/>
        <v>46671.6</v>
      </c>
      <c r="R36" s="24"/>
    </row>
    <row r="37" spans="1:18" ht="35.1" customHeight="1" x14ac:dyDescent="0.25">
      <c r="A37" s="392" t="s">
        <v>322</v>
      </c>
      <c r="B37" s="393"/>
      <c r="C37" s="177"/>
      <c r="D37" s="177"/>
      <c r="E37" s="177"/>
      <c r="F37" s="177"/>
      <c r="G37" s="177"/>
      <c r="H37" s="13">
        <f>H9+H10+H11+H12+H13+H16+H17+H21+H25+H26+H27+H28+H29+H30+H31+H32+H33</f>
        <v>1858.1</v>
      </c>
      <c r="I37" s="13">
        <f>I9+I10+I11+I12+I13+I16+I17+I21+I25+I26+I27+I28+I29+I30+I31+I32+I33</f>
        <v>2271.2999999999997</v>
      </c>
      <c r="J37" s="13">
        <f>J9+J10+J11+J12+J13+J16+J17+J21+J25+J26+J27+J28+J29+J30+J31+J32+J33</f>
        <v>2162.4</v>
      </c>
      <c r="K37" s="13">
        <f>K9+K10+K11+K12+K13+K16+K17+K21+K26+K27+K28+K29+K30+K31+K32+K33+K25</f>
        <v>2801.2</v>
      </c>
      <c r="L37" s="13">
        <f>L9+L10+L11+L12+L13+L16+L17+L21+L26+L27+L28+L29+L30+L31+L32+L33+L25</f>
        <v>2173</v>
      </c>
      <c r="M37" s="13">
        <f>M9+M10+M11+M12+M13+M16+M17+M21+M26+M27+M28+M29+M30+M31+M32+M33+M25</f>
        <v>2354.1999999999998</v>
      </c>
      <c r="N37" s="13">
        <f>N9+N10+N11+N12+N13+N16+N17+N21+N26+N27+N28+N29+N30+N31+N32+N33+N25</f>
        <v>2579.1999999999998</v>
      </c>
      <c r="O37" s="13">
        <f>O9+O10+O11+O12+O13+O16+O17+O21+O26+O27+O28+O29+O30+O31+O32+O33+O25</f>
        <v>2526</v>
      </c>
      <c r="P37" s="64">
        <f t="shared" si="2"/>
        <v>2526</v>
      </c>
      <c r="Q37" s="283">
        <f t="shared" si="3"/>
        <v>21251.4</v>
      </c>
      <c r="R37" s="24"/>
    </row>
    <row r="38" spans="1:18" ht="35.1" customHeight="1" x14ac:dyDescent="0.25">
      <c r="A38" s="392" t="s">
        <v>323</v>
      </c>
      <c r="B38" s="393"/>
      <c r="C38" s="177"/>
      <c r="D38" s="177"/>
      <c r="E38" s="177"/>
      <c r="F38" s="177"/>
      <c r="G38" s="177"/>
      <c r="H38" s="13">
        <f t="shared" ref="H38:M38" si="5">H18</f>
        <v>533</v>
      </c>
      <c r="I38" s="13">
        <f t="shared" si="5"/>
        <v>705.2</v>
      </c>
      <c r="J38" s="13">
        <f t="shared" si="5"/>
        <v>691.4</v>
      </c>
      <c r="K38" s="13">
        <f t="shared" si="5"/>
        <v>691.4</v>
      </c>
      <c r="L38" s="13">
        <f t="shared" si="5"/>
        <v>691.4</v>
      </c>
      <c r="M38" s="13">
        <f t="shared" si="5"/>
        <v>781.19999999999993</v>
      </c>
      <c r="N38" s="13">
        <f>N18</f>
        <v>0</v>
      </c>
      <c r="O38" s="13">
        <f>O18</f>
        <v>0</v>
      </c>
      <c r="P38" s="64">
        <f t="shared" si="2"/>
        <v>0</v>
      </c>
      <c r="Q38" s="283">
        <f t="shared" si="3"/>
        <v>4093.6</v>
      </c>
      <c r="R38" s="24"/>
    </row>
    <row r="39" spans="1:18" s="289" customFormat="1" ht="35.1" customHeight="1" x14ac:dyDescent="0.25">
      <c r="A39" s="468"/>
      <c r="B39" s="468"/>
      <c r="C39" s="286"/>
      <c r="D39" s="286"/>
      <c r="E39" s="286"/>
      <c r="F39" s="286"/>
      <c r="G39" s="286"/>
      <c r="H39" s="286"/>
      <c r="I39" s="287"/>
      <c r="J39" s="287"/>
      <c r="K39" s="288"/>
      <c r="L39" s="288"/>
      <c r="M39" s="288"/>
      <c r="N39" s="288"/>
      <c r="O39" s="288"/>
      <c r="P39" s="288"/>
      <c r="Q39" s="288"/>
    </row>
    <row r="40" spans="1:18" ht="35.1" customHeight="1" x14ac:dyDescent="0.3">
      <c r="A40" s="466" t="s">
        <v>33</v>
      </c>
      <c r="B40" s="466"/>
      <c r="C40" s="466"/>
      <c r="D40" s="290"/>
      <c r="E40" s="290"/>
      <c r="F40" s="290"/>
      <c r="G40" s="290"/>
      <c r="H40" s="290"/>
      <c r="I40" s="291"/>
      <c r="J40" s="197"/>
      <c r="K40" s="197"/>
      <c r="L40" s="197"/>
      <c r="M40" s="197"/>
      <c r="N40" s="197"/>
      <c r="O40" s="197"/>
      <c r="P40" s="197"/>
      <c r="Q40" s="197"/>
      <c r="R40" s="292" t="s">
        <v>34</v>
      </c>
    </row>
    <row r="41" spans="1:18" x14ac:dyDescent="0.25">
      <c r="A41" s="185"/>
      <c r="B41" s="186"/>
      <c r="C41" s="187"/>
      <c r="D41" s="187"/>
      <c r="E41" s="187"/>
      <c r="F41" s="187"/>
      <c r="G41" s="187"/>
      <c r="H41" s="187"/>
    </row>
    <row r="42" spans="1:18" x14ac:dyDescent="0.25">
      <c r="A42" s="185"/>
      <c r="B42" s="186"/>
      <c r="C42" s="187"/>
      <c r="D42" s="187"/>
      <c r="E42" s="187"/>
      <c r="F42" s="187"/>
      <c r="G42" s="187"/>
      <c r="H42" s="187"/>
    </row>
    <row r="43" spans="1:18" x14ac:dyDescent="0.25">
      <c r="A43" s="185"/>
      <c r="B43" s="186"/>
      <c r="C43" s="187"/>
      <c r="D43" s="187"/>
      <c r="E43" s="187"/>
      <c r="F43" s="187"/>
      <c r="G43" s="187"/>
      <c r="H43" s="187"/>
    </row>
    <row r="44" spans="1:18" x14ac:dyDescent="0.25">
      <c r="A44" s="185"/>
      <c r="B44" s="186"/>
      <c r="C44" s="187"/>
      <c r="D44" s="187"/>
      <c r="E44" s="187"/>
      <c r="F44" s="187"/>
      <c r="G44" s="187"/>
      <c r="H44" s="187"/>
    </row>
    <row r="45" spans="1:18" x14ac:dyDescent="0.25">
      <c r="A45" s="185"/>
      <c r="B45" s="186"/>
      <c r="C45" s="187"/>
      <c r="D45" s="187"/>
      <c r="E45" s="187"/>
      <c r="F45" s="187"/>
      <c r="G45" s="187"/>
      <c r="H45" s="187"/>
    </row>
    <row r="46" spans="1:18" x14ac:dyDescent="0.25">
      <c r="A46" s="185"/>
      <c r="B46" s="186"/>
      <c r="C46" s="187"/>
      <c r="D46" s="187"/>
      <c r="E46" s="187"/>
      <c r="F46" s="187"/>
      <c r="G46" s="187"/>
      <c r="H46" s="187"/>
    </row>
    <row r="47" spans="1:18" x14ac:dyDescent="0.25">
      <c r="A47" s="185"/>
      <c r="B47" s="186"/>
      <c r="C47" s="187"/>
      <c r="D47" s="187"/>
      <c r="E47" s="187"/>
      <c r="F47" s="187"/>
      <c r="G47" s="187"/>
      <c r="H47" s="187"/>
    </row>
    <row r="48" spans="1:18" x14ac:dyDescent="0.25">
      <c r="A48" s="185"/>
      <c r="B48" s="186"/>
      <c r="C48" s="187"/>
      <c r="D48" s="187"/>
      <c r="E48" s="187"/>
      <c r="F48" s="187"/>
      <c r="G48" s="187"/>
      <c r="H48" s="187"/>
    </row>
    <row r="49" spans="1:8" x14ac:dyDescent="0.25">
      <c r="A49" s="185"/>
      <c r="B49" s="186"/>
      <c r="C49" s="187"/>
      <c r="D49" s="187"/>
      <c r="E49" s="187"/>
      <c r="F49" s="187"/>
      <c r="G49" s="187"/>
      <c r="H49" s="187"/>
    </row>
    <row r="50" spans="1:8" x14ac:dyDescent="0.25">
      <c r="A50" s="185"/>
      <c r="B50" s="186"/>
      <c r="C50" s="187"/>
      <c r="D50" s="187"/>
      <c r="E50" s="187"/>
      <c r="F50" s="187"/>
      <c r="G50" s="187"/>
      <c r="H50" s="187"/>
    </row>
    <row r="51" spans="1:8" x14ac:dyDescent="0.25">
      <c r="A51" s="185"/>
      <c r="B51" s="186"/>
      <c r="C51" s="187"/>
      <c r="D51" s="187"/>
      <c r="E51" s="187"/>
      <c r="F51" s="187"/>
      <c r="G51" s="187"/>
      <c r="H51" s="187"/>
    </row>
    <row r="52" spans="1:8" x14ac:dyDescent="0.25">
      <c r="A52" s="185"/>
      <c r="B52" s="186"/>
      <c r="C52" s="187"/>
      <c r="D52" s="187"/>
      <c r="E52" s="187"/>
      <c r="F52" s="187"/>
      <c r="G52" s="187"/>
      <c r="H52" s="187"/>
    </row>
    <row r="53" spans="1:8" x14ac:dyDescent="0.25">
      <c r="A53" s="185"/>
      <c r="B53" s="186"/>
      <c r="C53" s="187"/>
      <c r="D53" s="187"/>
      <c r="E53" s="187"/>
      <c r="F53" s="187"/>
      <c r="G53" s="187"/>
      <c r="H53" s="187"/>
    </row>
    <row r="54" spans="1:8" x14ac:dyDescent="0.25">
      <c r="A54" s="185"/>
      <c r="B54" s="186"/>
      <c r="C54" s="187"/>
      <c r="D54" s="187"/>
      <c r="E54" s="187"/>
      <c r="F54" s="187"/>
      <c r="G54" s="187"/>
      <c r="H54" s="187"/>
    </row>
    <row r="55" spans="1:8" x14ac:dyDescent="0.25">
      <c r="A55" s="185"/>
      <c r="B55" s="186"/>
      <c r="C55" s="187"/>
      <c r="D55" s="187"/>
      <c r="E55" s="187"/>
      <c r="F55" s="187"/>
      <c r="G55" s="187"/>
      <c r="H55" s="187"/>
    </row>
    <row r="56" spans="1:8" x14ac:dyDescent="0.25">
      <c r="A56" s="185"/>
      <c r="B56" s="186"/>
      <c r="C56" s="187"/>
      <c r="D56" s="187"/>
      <c r="E56" s="187"/>
      <c r="F56" s="187"/>
      <c r="G56" s="187"/>
      <c r="H56" s="187"/>
    </row>
    <row r="57" spans="1:8" x14ac:dyDescent="0.25">
      <c r="A57" s="185"/>
      <c r="B57" s="186"/>
      <c r="C57" s="187"/>
      <c r="D57" s="187"/>
      <c r="E57" s="187"/>
      <c r="F57" s="187"/>
      <c r="G57" s="187"/>
      <c r="H57" s="187"/>
    </row>
    <row r="58" spans="1:8" x14ac:dyDescent="0.25">
      <c r="A58" s="185"/>
      <c r="B58" s="186"/>
      <c r="C58" s="187"/>
      <c r="D58" s="187"/>
      <c r="E58" s="187"/>
      <c r="F58" s="187"/>
      <c r="G58" s="187"/>
      <c r="H58" s="187"/>
    </row>
    <row r="59" spans="1:8" x14ac:dyDescent="0.25">
      <c r="A59" s="185"/>
      <c r="B59" s="186"/>
      <c r="C59" s="187"/>
      <c r="D59" s="187"/>
      <c r="E59" s="187"/>
      <c r="F59" s="187"/>
      <c r="G59" s="187"/>
      <c r="H59" s="187"/>
    </row>
    <row r="60" spans="1:8" x14ac:dyDescent="0.25">
      <c r="A60" s="185"/>
      <c r="B60" s="186"/>
      <c r="C60" s="187"/>
      <c r="D60" s="187"/>
      <c r="E60" s="187"/>
      <c r="F60" s="187"/>
      <c r="G60" s="187"/>
      <c r="H60" s="187"/>
    </row>
    <row r="61" spans="1:8" x14ac:dyDescent="0.25">
      <c r="A61" s="185"/>
      <c r="B61" s="186"/>
      <c r="C61" s="187"/>
      <c r="D61" s="187"/>
      <c r="E61" s="187"/>
      <c r="F61" s="187"/>
      <c r="G61" s="187"/>
      <c r="H61" s="187"/>
    </row>
    <row r="62" spans="1:8" x14ac:dyDescent="0.25">
      <c r="A62" s="185"/>
      <c r="B62" s="186"/>
      <c r="C62" s="187"/>
      <c r="D62" s="187"/>
      <c r="E62" s="187"/>
      <c r="F62" s="187"/>
      <c r="G62" s="187"/>
      <c r="H62" s="187"/>
    </row>
    <row r="63" spans="1:8" x14ac:dyDescent="0.25">
      <c r="A63" s="185"/>
      <c r="B63" s="186"/>
      <c r="C63" s="187"/>
      <c r="D63" s="187"/>
      <c r="E63" s="187"/>
      <c r="F63" s="187"/>
      <c r="G63" s="187"/>
      <c r="H63" s="187"/>
    </row>
    <row r="64" spans="1:8" x14ac:dyDescent="0.25">
      <c r="A64" s="185"/>
      <c r="B64" s="186"/>
      <c r="C64" s="187"/>
      <c r="D64" s="187"/>
      <c r="E64" s="187"/>
      <c r="F64" s="187"/>
      <c r="G64" s="187"/>
      <c r="H64" s="187"/>
    </row>
    <row r="65" spans="1:8" x14ac:dyDescent="0.25">
      <c r="A65" s="185"/>
      <c r="B65" s="186"/>
      <c r="C65" s="187"/>
      <c r="D65" s="187"/>
      <c r="E65" s="187"/>
      <c r="F65" s="187"/>
      <c r="G65" s="187"/>
      <c r="H65" s="187"/>
    </row>
    <row r="66" spans="1:8" x14ac:dyDescent="0.25">
      <c r="A66" s="185"/>
      <c r="B66" s="186"/>
      <c r="C66" s="187"/>
      <c r="D66" s="187"/>
      <c r="E66" s="187"/>
      <c r="F66" s="187"/>
      <c r="G66" s="187"/>
      <c r="H66" s="187"/>
    </row>
    <row r="67" spans="1:8" x14ac:dyDescent="0.25">
      <c r="A67" s="185"/>
      <c r="B67" s="186"/>
      <c r="C67" s="187"/>
      <c r="D67" s="187"/>
      <c r="E67" s="187"/>
      <c r="F67" s="187"/>
      <c r="G67" s="187"/>
      <c r="H67" s="187"/>
    </row>
    <row r="68" spans="1:8" x14ac:dyDescent="0.25">
      <c r="A68" s="185"/>
      <c r="B68" s="186"/>
      <c r="C68" s="187"/>
      <c r="D68" s="187"/>
      <c r="E68" s="187"/>
      <c r="F68" s="187"/>
      <c r="G68" s="187"/>
      <c r="H68" s="187"/>
    </row>
    <row r="69" spans="1:8" x14ac:dyDescent="0.25">
      <c r="A69" s="185"/>
      <c r="B69" s="186"/>
      <c r="C69" s="187"/>
      <c r="D69" s="187"/>
      <c r="E69" s="187"/>
      <c r="F69" s="187"/>
      <c r="G69" s="187"/>
      <c r="H69" s="187"/>
    </row>
    <row r="70" spans="1:8" x14ac:dyDescent="0.25">
      <c r="A70" s="185"/>
      <c r="B70" s="186"/>
      <c r="C70" s="187"/>
      <c r="D70" s="187"/>
      <c r="E70" s="187"/>
      <c r="F70" s="187"/>
      <c r="G70" s="187"/>
      <c r="H70" s="187"/>
    </row>
    <row r="71" spans="1:8" x14ac:dyDescent="0.25">
      <c r="A71" s="185"/>
      <c r="B71" s="186"/>
      <c r="C71" s="187"/>
      <c r="D71" s="187"/>
      <c r="E71" s="187"/>
      <c r="F71" s="187"/>
      <c r="G71" s="187"/>
      <c r="H71" s="187"/>
    </row>
    <row r="72" spans="1:8" x14ac:dyDescent="0.25">
      <c r="A72" s="185"/>
      <c r="B72" s="186"/>
      <c r="C72" s="187"/>
      <c r="D72" s="187"/>
      <c r="E72" s="187"/>
      <c r="F72" s="187"/>
      <c r="G72" s="187"/>
      <c r="H72" s="187"/>
    </row>
    <row r="73" spans="1:8" x14ac:dyDescent="0.25">
      <c r="A73" s="185"/>
      <c r="B73" s="186"/>
      <c r="C73" s="187"/>
      <c r="D73" s="187"/>
      <c r="E73" s="187"/>
      <c r="F73" s="187"/>
      <c r="G73" s="187"/>
      <c r="H73" s="187"/>
    </row>
    <row r="74" spans="1:8" x14ac:dyDescent="0.25">
      <c r="A74" s="185"/>
      <c r="B74" s="186"/>
      <c r="C74" s="187"/>
      <c r="D74" s="187"/>
      <c r="E74" s="187"/>
      <c r="F74" s="187"/>
      <c r="G74" s="187"/>
      <c r="H74" s="187"/>
    </row>
    <row r="75" spans="1:8" x14ac:dyDescent="0.25">
      <c r="A75" s="185"/>
      <c r="B75" s="186"/>
      <c r="C75" s="187"/>
      <c r="D75" s="187"/>
      <c r="E75" s="187"/>
      <c r="F75" s="187"/>
      <c r="G75" s="187"/>
      <c r="H75" s="187"/>
    </row>
    <row r="76" spans="1:8" x14ac:dyDescent="0.25">
      <c r="A76" s="185"/>
      <c r="B76" s="186"/>
      <c r="C76" s="187"/>
      <c r="D76" s="187"/>
      <c r="E76" s="187"/>
      <c r="F76" s="187"/>
      <c r="G76" s="187"/>
      <c r="H76" s="187"/>
    </row>
    <row r="77" spans="1:8" x14ac:dyDescent="0.25">
      <c r="A77" s="185"/>
      <c r="B77" s="186"/>
      <c r="C77" s="187"/>
      <c r="D77" s="187"/>
      <c r="E77" s="187"/>
      <c r="F77" s="187"/>
      <c r="G77" s="187"/>
      <c r="H77" s="187"/>
    </row>
  </sheetData>
  <autoFilter ref="A4:S35"/>
  <mergeCells count="45">
    <mergeCell ref="I1:J1"/>
    <mergeCell ref="Q1:R1"/>
    <mergeCell ref="A2:R2"/>
    <mergeCell ref="A3:A4"/>
    <mergeCell ref="B3:B4"/>
    <mergeCell ref="C3:C4"/>
    <mergeCell ref="D3:G3"/>
    <mergeCell ref="I3:Q3"/>
    <mergeCell ref="R3:R4"/>
    <mergeCell ref="A5:R5"/>
    <mergeCell ref="A7:R7"/>
    <mergeCell ref="A8:A10"/>
    <mergeCell ref="B8:B10"/>
    <mergeCell ref="C8:C10"/>
    <mergeCell ref="R9:R10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23:B23"/>
    <mergeCell ref="A24:R24"/>
    <mergeCell ref="A25:A26"/>
    <mergeCell ref="B25:B26"/>
    <mergeCell ref="C25:C26"/>
    <mergeCell ref="R25:R26"/>
    <mergeCell ref="A27:A28"/>
    <mergeCell ref="B27:B28"/>
    <mergeCell ref="C27:C28"/>
    <mergeCell ref="R27:R28"/>
    <mergeCell ref="A29:A33"/>
    <mergeCell ref="B29:B33"/>
    <mergeCell ref="C29:C33"/>
    <mergeCell ref="R29:R33"/>
    <mergeCell ref="A40:C40"/>
    <mergeCell ref="A34:B34"/>
    <mergeCell ref="A35:B35"/>
    <mergeCell ref="A36:B36"/>
    <mergeCell ref="A37:B37"/>
    <mergeCell ref="A38:B38"/>
    <mergeCell ref="A39:B39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tabSelected="1" view="pageBreakPreview" zoomScaleNormal="100" zoomScaleSheetLayoutView="100" workbookViewId="0">
      <pane xSplit="2" ySplit="6" topLeftCell="E7" activePane="bottomRight" state="frozen"/>
      <selection activeCell="Q12" sqref="Q12"/>
      <selection pane="topRight" activeCell="Q12" sqref="Q12"/>
      <selection pane="bottomLeft" activeCell="Q12" sqref="Q12"/>
      <selection pane="bottomRight" activeCell="N31" sqref="N31"/>
    </sheetView>
  </sheetViews>
  <sheetFormatPr defaultRowHeight="15.75" x14ac:dyDescent="0.25"/>
  <cols>
    <col min="1" max="1" width="7.5703125" style="126" customWidth="1"/>
    <col min="2" max="2" width="79.140625" style="34" customWidth="1"/>
    <col min="3" max="3" width="12" style="34" customWidth="1"/>
    <col min="4" max="4" width="24.42578125" style="34" customWidth="1"/>
    <col min="5" max="11" width="10.7109375" style="34" customWidth="1"/>
    <col min="12" max="12" width="10.7109375" style="72" customWidth="1"/>
    <col min="13" max="13" width="9.140625" style="293"/>
    <col min="14" max="16384" width="9.140625" style="34"/>
  </cols>
  <sheetData>
    <row r="1" spans="1:13" ht="50.25" customHeight="1" x14ac:dyDescent="0.25">
      <c r="A1" s="69"/>
      <c r="B1" s="70"/>
      <c r="C1" s="71"/>
      <c r="D1" s="70"/>
      <c r="E1" s="362" t="s">
        <v>528</v>
      </c>
      <c r="F1" s="362"/>
      <c r="G1" s="362"/>
      <c r="H1" s="362"/>
      <c r="I1" s="362"/>
      <c r="J1" s="362"/>
      <c r="K1" s="362"/>
    </row>
    <row r="2" spans="1:13" ht="37.5" customHeight="1" x14ac:dyDescent="0.25">
      <c r="A2" s="381" t="s">
        <v>246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</row>
    <row r="3" spans="1:13" ht="25.5" customHeight="1" x14ac:dyDescent="0.25">
      <c r="A3" s="364" t="s">
        <v>89</v>
      </c>
      <c r="B3" s="355" t="s">
        <v>247</v>
      </c>
      <c r="C3" s="355" t="s">
        <v>91</v>
      </c>
      <c r="D3" s="355" t="s">
        <v>93</v>
      </c>
      <c r="E3" s="321" t="s">
        <v>41</v>
      </c>
      <c r="F3" s="321" t="s">
        <v>42</v>
      </c>
      <c r="G3" s="321" t="s">
        <v>43</v>
      </c>
      <c r="H3" s="321" t="s">
        <v>44</v>
      </c>
      <c r="I3" s="321" t="s">
        <v>45</v>
      </c>
      <c r="J3" s="321" t="s">
        <v>46</v>
      </c>
      <c r="K3" s="321" t="s">
        <v>47</v>
      </c>
      <c r="L3" s="321" t="s">
        <v>48</v>
      </c>
      <c r="M3" s="321" t="s">
        <v>49</v>
      </c>
    </row>
    <row r="4" spans="1:13" ht="12" customHeight="1" x14ac:dyDescent="0.25">
      <c r="A4" s="364"/>
      <c r="B4" s="355"/>
      <c r="C4" s="355"/>
      <c r="D4" s="355"/>
      <c r="E4" s="321"/>
      <c r="F4" s="321"/>
      <c r="G4" s="321"/>
      <c r="H4" s="321"/>
      <c r="I4" s="321"/>
      <c r="J4" s="321"/>
      <c r="K4" s="321"/>
      <c r="L4" s="321"/>
      <c r="M4" s="321"/>
    </row>
    <row r="5" spans="1:13" ht="25.5" customHeight="1" x14ac:dyDescent="0.25">
      <c r="A5" s="364"/>
      <c r="B5" s="355"/>
      <c r="C5" s="355"/>
      <c r="D5" s="355"/>
      <c r="E5" s="321"/>
      <c r="F5" s="321"/>
      <c r="G5" s="321"/>
      <c r="H5" s="321"/>
      <c r="I5" s="321"/>
      <c r="J5" s="321"/>
      <c r="K5" s="321"/>
      <c r="L5" s="321"/>
      <c r="M5" s="321"/>
    </row>
    <row r="6" spans="1:13" ht="27" customHeight="1" x14ac:dyDescent="0.25">
      <c r="A6" s="496" t="s">
        <v>529</v>
      </c>
      <c r="B6" s="496"/>
      <c r="C6" s="496"/>
      <c r="D6" s="496"/>
      <c r="E6" s="496"/>
      <c r="F6" s="496"/>
      <c r="G6" s="496"/>
      <c r="H6" s="496"/>
      <c r="I6" s="496"/>
      <c r="J6" s="496"/>
      <c r="K6" s="496"/>
      <c r="L6" s="294"/>
    </row>
    <row r="7" spans="1:13" ht="33" customHeight="1" x14ac:dyDescent="0.25">
      <c r="A7" s="423" t="s">
        <v>530</v>
      </c>
      <c r="B7" s="423"/>
      <c r="C7" s="423"/>
      <c r="D7" s="423"/>
      <c r="E7" s="423"/>
      <c r="F7" s="423"/>
      <c r="G7" s="423"/>
      <c r="H7" s="423"/>
      <c r="I7" s="423"/>
      <c r="J7" s="423"/>
      <c r="K7" s="423"/>
      <c r="L7" s="294"/>
    </row>
    <row r="8" spans="1:13" ht="42" customHeight="1" x14ac:dyDescent="0.25">
      <c r="A8" s="75" t="s">
        <v>531</v>
      </c>
      <c r="B8" s="77" t="s">
        <v>182</v>
      </c>
      <c r="C8" s="75" t="s">
        <v>183</v>
      </c>
      <c r="D8" s="75" t="s">
        <v>21</v>
      </c>
      <c r="E8" s="6">
        <v>1460</v>
      </c>
      <c r="F8" s="295">
        <v>1470</v>
      </c>
      <c r="G8" s="75">
        <v>1470</v>
      </c>
      <c r="H8" s="75">
        <v>2863</v>
      </c>
      <c r="I8" s="75">
        <v>3174</v>
      </c>
      <c r="J8" s="75">
        <v>3205</v>
      </c>
      <c r="K8" s="75">
        <v>3205</v>
      </c>
      <c r="L8" s="75">
        <v>3205</v>
      </c>
      <c r="M8" s="75">
        <v>3205</v>
      </c>
    </row>
    <row r="9" spans="1:13" ht="31.5" x14ac:dyDescent="0.25">
      <c r="A9" s="75" t="s">
        <v>184</v>
      </c>
      <c r="B9" s="77" t="s">
        <v>185</v>
      </c>
      <c r="C9" s="75" t="s">
        <v>183</v>
      </c>
      <c r="D9" s="75" t="s">
        <v>21</v>
      </c>
      <c r="E9" s="6">
        <v>28870</v>
      </c>
      <c r="F9" s="295">
        <v>29600</v>
      </c>
      <c r="G9" s="75">
        <v>30690</v>
      </c>
      <c r="H9" s="75">
        <v>32180</v>
      </c>
      <c r="I9" s="75">
        <v>33390</v>
      </c>
      <c r="J9" s="75">
        <v>33390</v>
      </c>
      <c r="K9" s="75">
        <v>33390</v>
      </c>
      <c r="L9" s="75">
        <v>33390</v>
      </c>
      <c r="M9" s="75">
        <v>33390</v>
      </c>
    </row>
    <row r="10" spans="1:13" ht="63" x14ac:dyDescent="0.25">
      <c r="A10" s="75" t="s">
        <v>186</v>
      </c>
      <c r="B10" s="77" t="s">
        <v>187</v>
      </c>
      <c r="C10" s="75" t="s">
        <v>183</v>
      </c>
      <c r="D10" s="75" t="s">
        <v>21</v>
      </c>
      <c r="E10" s="6">
        <v>17972</v>
      </c>
      <c r="F10" s="295">
        <v>18638</v>
      </c>
      <c r="G10" s="75">
        <v>19328</v>
      </c>
      <c r="H10" s="75">
        <v>21911</v>
      </c>
      <c r="I10" s="75">
        <v>24405</v>
      </c>
      <c r="J10" s="75">
        <v>24405</v>
      </c>
      <c r="K10" s="75">
        <v>24405</v>
      </c>
      <c r="L10" s="75">
        <v>24405</v>
      </c>
      <c r="M10" s="75">
        <v>24405</v>
      </c>
    </row>
    <row r="11" spans="1:13" ht="31.5" x14ac:dyDescent="0.25">
      <c r="A11" s="75" t="s">
        <v>188</v>
      </c>
      <c r="B11" s="77" t="s">
        <v>189</v>
      </c>
      <c r="C11" s="75" t="s">
        <v>190</v>
      </c>
      <c r="D11" s="75" t="s">
        <v>102</v>
      </c>
      <c r="E11" s="6">
        <v>25.02</v>
      </c>
      <c r="F11" s="5">
        <v>25</v>
      </c>
      <c r="G11" s="75">
        <v>25</v>
      </c>
      <c r="H11" s="75">
        <v>23.9</v>
      </c>
      <c r="I11" s="75">
        <v>24</v>
      </c>
      <c r="J11" s="75">
        <v>24</v>
      </c>
      <c r="K11" s="75">
        <v>24</v>
      </c>
      <c r="L11" s="75">
        <v>24</v>
      </c>
      <c r="M11" s="75">
        <v>24</v>
      </c>
    </row>
    <row r="12" spans="1:13" ht="31.5" x14ac:dyDescent="0.25">
      <c r="A12" s="75" t="s">
        <v>191</v>
      </c>
      <c r="B12" s="77" t="s">
        <v>192</v>
      </c>
      <c r="C12" s="75" t="s">
        <v>190</v>
      </c>
      <c r="D12" s="75" t="s">
        <v>102</v>
      </c>
      <c r="E12" s="6">
        <v>18.82</v>
      </c>
      <c r="F12" s="5">
        <v>18.82</v>
      </c>
      <c r="G12" s="75">
        <v>18.8</v>
      </c>
      <c r="H12" s="75">
        <v>17</v>
      </c>
      <c r="I12" s="75">
        <v>17</v>
      </c>
      <c r="J12" s="75">
        <v>17</v>
      </c>
      <c r="K12" s="75">
        <v>17</v>
      </c>
      <c r="L12" s="75">
        <v>17</v>
      </c>
      <c r="M12" s="75">
        <v>17</v>
      </c>
    </row>
    <row r="13" spans="1:13" ht="78.75" x14ac:dyDescent="0.25">
      <c r="A13" s="75" t="s">
        <v>193</v>
      </c>
      <c r="B13" s="77" t="s">
        <v>194</v>
      </c>
      <c r="C13" s="75" t="s">
        <v>195</v>
      </c>
      <c r="D13" s="75" t="s">
        <v>102</v>
      </c>
      <c r="E13" s="6">
        <v>0.7</v>
      </c>
      <c r="F13" s="5">
        <v>0.7</v>
      </c>
      <c r="G13" s="75">
        <v>0.7</v>
      </c>
      <c r="H13" s="75">
        <v>0.7</v>
      </c>
      <c r="I13" s="75">
        <v>0.7</v>
      </c>
      <c r="J13" s="75">
        <v>0.7</v>
      </c>
      <c r="K13" s="75">
        <v>0.7</v>
      </c>
      <c r="L13" s="75">
        <v>0.7</v>
      </c>
      <c r="M13" s="75">
        <v>0.7</v>
      </c>
    </row>
    <row r="14" spans="1:13" ht="31.5" x14ac:dyDescent="0.25">
      <c r="A14" s="75" t="s">
        <v>196</v>
      </c>
      <c r="B14" s="77" t="s">
        <v>197</v>
      </c>
      <c r="C14" s="75" t="s">
        <v>132</v>
      </c>
      <c r="D14" s="75" t="s">
        <v>21</v>
      </c>
      <c r="E14" s="75">
        <v>18</v>
      </c>
      <c r="F14" s="75">
        <v>18</v>
      </c>
      <c r="G14" s="75">
        <v>18</v>
      </c>
      <c r="H14" s="75">
        <v>14</v>
      </c>
      <c r="I14" s="75">
        <v>14</v>
      </c>
      <c r="J14" s="75">
        <v>14</v>
      </c>
      <c r="K14" s="75">
        <v>14</v>
      </c>
      <c r="L14" s="75">
        <v>14</v>
      </c>
      <c r="M14" s="75">
        <v>14</v>
      </c>
    </row>
    <row r="15" spans="1:13" ht="68.25" customHeight="1" x14ac:dyDescent="0.25">
      <c r="A15" s="75" t="s">
        <v>198</v>
      </c>
      <c r="B15" s="77" t="s">
        <v>199</v>
      </c>
      <c r="C15" s="75" t="s">
        <v>200</v>
      </c>
      <c r="D15" s="75" t="s">
        <v>201</v>
      </c>
      <c r="E15" s="75">
        <v>5</v>
      </c>
      <c r="F15" s="75">
        <v>5</v>
      </c>
      <c r="G15" s="75">
        <v>5</v>
      </c>
      <c r="H15" s="75">
        <v>5</v>
      </c>
      <c r="I15" s="75">
        <v>5</v>
      </c>
      <c r="J15" s="75">
        <v>5</v>
      </c>
      <c r="K15" s="75">
        <v>5</v>
      </c>
      <c r="L15" s="75">
        <v>5</v>
      </c>
      <c r="M15" s="75">
        <v>5</v>
      </c>
    </row>
    <row r="16" spans="1:13" ht="72.75" customHeight="1" x14ac:dyDescent="0.25">
      <c r="A16" s="22" t="s">
        <v>202</v>
      </c>
      <c r="B16" s="296" t="s">
        <v>203</v>
      </c>
      <c r="C16" s="75" t="s">
        <v>200</v>
      </c>
      <c r="D16" s="75" t="s">
        <v>201</v>
      </c>
      <c r="E16" s="21">
        <v>5</v>
      </c>
      <c r="F16" s="21">
        <v>5</v>
      </c>
      <c r="G16" s="21">
        <v>5</v>
      </c>
      <c r="H16" s="21">
        <v>5</v>
      </c>
      <c r="I16" s="21">
        <v>5</v>
      </c>
      <c r="J16" s="21">
        <v>5</v>
      </c>
      <c r="K16" s="21">
        <v>5</v>
      </c>
      <c r="L16" s="21">
        <v>5</v>
      </c>
      <c r="M16" s="21">
        <v>5</v>
      </c>
    </row>
    <row r="17" spans="1:14" ht="157.5" x14ac:dyDescent="0.25">
      <c r="A17" s="22" t="s">
        <v>204</v>
      </c>
      <c r="B17" s="121" t="s">
        <v>532</v>
      </c>
      <c r="C17" s="75" t="s">
        <v>200</v>
      </c>
      <c r="D17" s="75" t="s">
        <v>201</v>
      </c>
      <c r="E17" s="21">
        <v>5</v>
      </c>
      <c r="F17" s="21">
        <v>5</v>
      </c>
      <c r="G17" s="21">
        <v>5</v>
      </c>
      <c r="H17" s="21">
        <v>5</v>
      </c>
      <c r="I17" s="21">
        <v>5</v>
      </c>
      <c r="J17" s="21">
        <v>5</v>
      </c>
      <c r="K17" s="21">
        <v>5</v>
      </c>
      <c r="L17" s="21">
        <v>5</v>
      </c>
      <c r="M17" s="21">
        <v>5</v>
      </c>
    </row>
    <row r="18" spans="1:14" ht="94.5" x14ac:dyDescent="0.25">
      <c r="A18" s="22" t="s">
        <v>533</v>
      </c>
      <c r="B18" s="121" t="s">
        <v>207</v>
      </c>
      <c r="C18" s="75" t="s">
        <v>200</v>
      </c>
      <c r="D18" s="75" t="s">
        <v>201</v>
      </c>
      <c r="E18" s="21">
        <v>5</v>
      </c>
      <c r="F18" s="21">
        <v>5</v>
      </c>
      <c r="G18" s="21">
        <v>5</v>
      </c>
      <c r="H18" s="21">
        <v>5</v>
      </c>
      <c r="I18" s="21">
        <v>5</v>
      </c>
      <c r="J18" s="21">
        <v>5</v>
      </c>
      <c r="K18" s="21">
        <v>5</v>
      </c>
      <c r="L18" s="21">
        <v>5</v>
      </c>
      <c r="M18" s="21">
        <v>5</v>
      </c>
    </row>
    <row r="19" spans="1:14" ht="63" x14ac:dyDescent="0.25">
      <c r="A19" s="22" t="s">
        <v>208</v>
      </c>
      <c r="B19" s="121" t="s">
        <v>209</v>
      </c>
      <c r="C19" s="75" t="s">
        <v>200</v>
      </c>
      <c r="D19" s="75" t="s">
        <v>534</v>
      </c>
      <c r="E19" s="21">
        <v>5</v>
      </c>
      <c r="F19" s="21">
        <v>5</v>
      </c>
      <c r="G19" s="21">
        <v>5</v>
      </c>
      <c r="H19" s="21">
        <v>5</v>
      </c>
      <c r="I19" s="21">
        <v>5</v>
      </c>
      <c r="J19" s="21">
        <v>5</v>
      </c>
      <c r="K19" s="21">
        <v>5</v>
      </c>
      <c r="L19" s="21">
        <v>5</v>
      </c>
      <c r="M19" s="21">
        <v>5</v>
      </c>
    </row>
    <row r="20" spans="1:14" ht="63" x14ac:dyDescent="0.25">
      <c r="A20" s="22" t="s">
        <v>210</v>
      </c>
      <c r="B20" s="121" t="s">
        <v>535</v>
      </c>
      <c r="C20" s="75" t="s">
        <v>200</v>
      </c>
      <c r="D20" s="75" t="s">
        <v>534</v>
      </c>
      <c r="E20" s="21">
        <v>5</v>
      </c>
      <c r="F20" s="21">
        <v>5</v>
      </c>
      <c r="G20" s="21">
        <v>5</v>
      </c>
      <c r="H20" s="21">
        <v>5</v>
      </c>
      <c r="I20" s="21">
        <v>5</v>
      </c>
      <c r="J20" s="21">
        <v>5</v>
      </c>
      <c r="K20" s="21">
        <v>5</v>
      </c>
      <c r="L20" s="21">
        <v>5</v>
      </c>
      <c r="M20" s="21">
        <v>5</v>
      </c>
    </row>
    <row r="21" spans="1:14" ht="63" x14ac:dyDescent="0.25">
      <c r="A21" s="22" t="s">
        <v>212</v>
      </c>
      <c r="B21" s="121" t="s">
        <v>213</v>
      </c>
      <c r="C21" s="75" t="s">
        <v>200</v>
      </c>
      <c r="D21" s="75" t="s">
        <v>201</v>
      </c>
      <c r="E21" s="21">
        <v>5</v>
      </c>
      <c r="F21" s="21">
        <v>5</v>
      </c>
      <c r="G21" s="21">
        <v>5</v>
      </c>
      <c r="H21" s="21">
        <v>5</v>
      </c>
      <c r="I21" s="21">
        <v>5</v>
      </c>
      <c r="J21" s="21">
        <v>5</v>
      </c>
      <c r="K21" s="21">
        <v>5</v>
      </c>
      <c r="L21" s="21">
        <v>5</v>
      </c>
      <c r="M21" s="21">
        <v>5</v>
      </c>
    </row>
    <row r="22" spans="1:14" ht="63" x14ac:dyDescent="0.25">
      <c r="A22" s="22" t="s">
        <v>536</v>
      </c>
      <c r="B22" s="296" t="s">
        <v>215</v>
      </c>
      <c r="C22" s="75" t="s">
        <v>200</v>
      </c>
      <c r="D22" s="75" t="s">
        <v>201</v>
      </c>
      <c r="E22" s="21">
        <v>5</v>
      </c>
      <c r="F22" s="21">
        <v>5</v>
      </c>
      <c r="G22" s="21">
        <v>5</v>
      </c>
      <c r="H22" s="21">
        <v>5</v>
      </c>
      <c r="I22" s="21">
        <v>5</v>
      </c>
      <c r="J22" s="21">
        <v>5</v>
      </c>
      <c r="K22" s="21">
        <v>5</v>
      </c>
      <c r="L22" s="21">
        <v>5</v>
      </c>
      <c r="M22" s="21">
        <v>5</v>
      </c>
    </row>
    <row r="23" spans="1:14" ht="63" x14ac:dyDescent="0.25">
      <c r="A23" s="22" t="s">
        <v>216</v>
      </c>
      <c r="B23" s="296" t="s">
        <v>217</v>
      </c>
      <c r="C23" s="75" t="s">
        <v>200</v>
      </c>
      <c r="D23" s="75" t="s">
        <v>201</v>
      </c>
      <c r="E23" s="21">
        <v>5</v>
      </c>
      <c r="F23" s="21">
        <v>5</v>
      </c>
      <c r="G23" s="21">
        <v>5</v>
      </c>
      <c r="H23" s="21">
        <v>5</v>
      </c>
      <c r="I23" s="21">
        <v>5</v>
      </c>
      <c r="J23" s="21">
        <v>5</v>
      </c>
      <c r="K23" s="21">
        <v>5</v>
      </c>
      <c r="L23" s="21">
        <v>5</v>
      </c>
      <c r="M23" s="21">
        <v>5</v>
      </c>
    </row>
    <row r="24" spans="1:14" ht="63" x14ac:dyDescent="0.25">
      <c r="A24" s="22" t="s">
        <v>218</v>
      </c>
      <c r="B24" s="296" t="s">
        <v>219</v>
      </c>
      <c r="C24" s="75" t="s">
        <v>200</v>
      </c>
      <c r="D24" s="75" t="s">
        <v>201</v>
      </c>
      <c r="E24" s="21">
        <v>5</v>
      </c>
      <c r="F24" s="21">
        <v>5</v>
      </c>
      <c r="G24" s="21">
        <v>5</v>
      </c>
      <c r="H24" s="21">
        <v>5</v>
      </c>
      <c r="I24" s="21">
        <v>5</v>
      </c>
      <c r="J24" s="21">
        <v>5</v>
      </c>
      <c r="K24" s="21">
        <v>5</v>
      </c>
      <c r="L24" s="21">
        <v>5</v>
      </c>
      <c r="M24" s="21">
        <v>5</v>
      </c>
    </row>
    <row r="25" spans="1:14" ht="63" x14ac:dyDescent="0.25">
      <c r="A25" s="22" t="s">
        <v>220</v>
      </c>
      <c r="B25" s="296" t="s">
        <v>221</v>
      </c>
      <c r="C25" s="75" t="s">
        <v>200</v>
      </c>
      <c r="D25" s="75" t="s">
        <v>201</v>
      </c>
      <c r="E25" s="21">
        <v>5</v>
      </c>
      <c r="F25" s="21">
        <v>5</v>
      </c>
      <c r="G25" s="21">
        <v>5</v>
      </c>
      <c r="H25" s="21">
        <v>5</v>
      </c>
      <c r="I25" s="21">
        <v>5</v>
      </c>
      <c r="J25" s="21">
        <v>5</v>
      </c>
      <c r="K25" s="21">
        <v>5</v>
      </c>
      <c r="L25" s="21">
        <v>5</v>
      </c>
      <c r="M25" s="21">
        <v>5</v>
      </c>
    </row>
    <row r="26" spans="1:14" ht="32.25" customHeight="1" x14ac:dyDescent="0.25">
      <c r="A26" s="423" t="s">
        <v>537</v>
      </c>
      <c r="B26" s="423"/>
      <c r="C26" s="423"/>
      <c r="D26" s="423"/>
      <c r="E26" s="423"/>
      <c r="F26" s="423"/>
      <c r="G26" s="423"/>
      <c r="H26" s="423"/>
      <c r="I26" s="423"/>
      <c r="J26" s="423"/>
      <c r="K26" s="423"/>
      <c r="L26" s="297"/>
      <c r="M26" s="298"/>
      <c r="N26" s="298"/>
    </row>
    <row r="27" spans="1:14" ht="47.25" x14ac:dyDescent="0.25">
      <c r="A27" s="299" t="s">
        <v>223</v>
      </c>
      <c r="B27" s="77" t="s">
        <v>538</v>
      </c>
      <c r="C27" s="75" t="s">
        <v>97</v>
      </c>
      <c r="D27" s="75" t="s">
        <v>102</v>
      </c>
      <c r="E27" s="6">
        <v>70</v>
      </c>
      <c r="F27" s="6">
        <v>71</v>
      </c>
      <c r="G27" s="75">
        <v>71</v>
      </c>
      <c r="H27" s="75">
        <v>71</v>
      </c>
      <c r="I27" s="75">
        <v>71</v>
      </c>
      <c r="J27" s="75">
        <v>71</v>
      </c>
      <c r="K27" s="75">
        <v>71</v>
      </c>
      <c r="L27" s="75">
        <v>71</v>
      </c>
      <c r="M27" s="75">
        <v>71</v>
      </c>
    </row>
    <row r="28" spans="1:14" ht="94.5" x14ac:dyDescent="0.25">
      <c r="A28" s="75" t="s">
        <v>225</v>
      </c>
      <c r="B28" s="77" t="s">
        <v>226</v>
      </c>
      <c r="C28" s="75" t="s">
        <v>539</v>
      </c>
      <c r="D28" s="75" t="s">
        <v>102</v>
      </c>
      <c r="E28" s="75" t="s">
        <v>228</v>
      </c>
      <c r="F28" s="75" t="s">
        <v>229</v>
      </c>
      <c r="G28" s="75" t="s">
        <v>230</v>
      </c>
      <c r="H28" s="75" t="s">
        <v>231</v>
      </c>
      <c r="I28" s="75" t="s">
        <v>232</v>
      </c>
      <c r="J28" s="75" t="s">
        <v>233</v>
      </c>
      <c r="K28" s="75" t="s">
        <v>234</v>
      </c>
      <c r="L28" s="75" t="s">
        <v>234</v>
      </c>
      <c r="M28" s="75" t="s">
        <v>234</v>
      </c>
    </row>
    <row r="29" spans="1:14" ht="45" customHeight="1" x14ac:dyDescent="0.3">
      <c r="A29" s="34"/>
      <c r="B29" s="197" t="s">
        <v>33</v>
      </c>
      <c r="C29" s="197"/>
      <c r="D29" s="197"/>
      <c r="E29" s="197"/>
      <c r="F29" s="197"/>
      <c r="G29" s="495" t="s">
        <v>256</v>
      </c>
      <c r="H29" s="495"/>
      <c r="I29" s="189"/>
      <c r="J29" s="189"/>
    </row>
    <row r="30" spans="1:14" ht="68.25" customHeight="1" x14ac:dyDescent="0.25">
      <c r="A30" s="34"/>
    </row>
    <row r="31" spans="1:14" ht="129.75" customHeight="1" x14ac:dyDescent="0.25">
      <c r="A31" s="34"/>
    </row>
    <row r="32" spans="1:14" ht="98.25" customHeight="1" x14ac:dyDescent="0.25">
      <c r="A32" s="34"/>
    </row>
    <row r="33" spans="1:1" ht="70.5" customHeight="1" x14ac:dyDescent="0.25">
      <c r="A33" s="34"/>
    </row>
    <row r="34" spans="1:1" ht="66.75" customHeight="1" x14ac:dyDescent="0.25">
      <c r="A34" s="34"/>
    </row>
    <row r="35" spans="1:1" ht="53.25" customHeight="1" x14ac:dyDescent="0.25">
      <c r="A35" s="34"/>
    </row>
    <row r="36" spans="1:1" x14ac:dyDescent="0.25">
      <c r="A36" s="34"/>
    </row>
    <row r="37" spans="1:1" x14ac:dyDescent="0.25">
      <c r="A37" s="34"/>
    </row>
  </sheetData>
  <mergeCells count="19"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  <mergeCell ref="A7:K7"/>
    <mergeCell ref="A26:K26"/>
    <mergeCell ref="G29:H29"/>
    <mergeCell ref="I3:I5"/>
    <mergeCell ref="J3:J5"/>
    <mergeCell ref="K3:K5"/>
  </mergeCells>
  <pageMargins left="0.31496062992125984" right="0.11811023622047245" top="0.55118110236220474" bottom="0.35433070866141736" header="0.31496062992125984" footer="0.31496062992125984"/>
  <pageSetup paperSize="9" scale="66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90"/>
  <sheetViews>
    <sheetView view="pageBreakPreview" zoomScale="75" zoomScaleNormal="75" zoomScaleSheetLayoutView="75" workbookViewId="0">
      <selection activeCell="I13" sqref="I13"/>
    </sheetView>
  </sheetViews>
  <sheetFormatPr defaultColWidth="9.28515625" defaultRowHeight="15.75" x14ac:dyDescent="0.25"/>
  <cols>
    <col min="1" max="1" width="8.42578125" style="188" customWidth="1"/>
    <col min="2" max="2" width="42.28515625" style="34" customWidth="1"/>
    <col min="3" max="3" width="21.5703125" style="189" customWidth="1"/>
    <col min="4" max="4" width="13" style="189" customWidth="1"/>
    <col min="5" max="5" width="13.7109375" style="189" customWidth="1"/>
    <col min="6" max="6" width="17.28515625" style="189" customWidth="1"/>
    <col min="7" max="7" width="13" style="189" customWidth="1"/>
    <col min="8" max="8" width="14.7109375" style="189" customWidth="1"/>
    <col min="9" max="10" width="14.7109375" style="34" customWidth="1"/>
    <col min="11" max="11" width="14.7109375" style="98" customWidth="1"/>
    <col min="12" max="12" width="14.7109375" style="34" customWidth="1"/>
    <col min="13" max="13" width="21.7109375" style="34" customWidth="1"/>
    <col min="14" max="17" width="14.7109375" style="34" customWidth="1"/>
    <col min="18" max="18" width="74.140625" style="34" customWidth="1"/>
    <col min="19" max="16384" width="9.28515625" style="34"/>
  </cols>
  <sheetData>
    <row r="1" spans="1:18" s="133" customFormat="1" ht="71.25" customHeight="1" x14ac:dyDescent="0.25">
      <c r="A1" s="155"/>
      <c r="B1" s="156"/>
      <c r="C1" s="157"/>
      <c r="D1" s="157"/>
      <c r="E1" s="157"/>
      <c r="F1" s="157"/>
      <c r="G1" s="157"/>
      <c r="H1" s="157"/>
      <c r="I1" s="431"/>
      <c r="J1" s="431"/>
      <c r="K1" s="300"/>
      <c r="O1" s="301"/>
      <c r="Q1" s="506" t="s">
        <v>540</v>
      </c>
      <c r="R1" s="506"/>
    </row>
    <row r="2" spans="1:18" s="133" customFormat="1" ht="36" customHeight="1" x14ac:dyDescent="0.25">
      <c r="A2" s="433" t="s">
        <v>258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</row>
    <row r="3" spans="1:18" s="133" customFormat="1" ht="32.25" customHeight="1" x14ac:dyDescent="0.25">
      <c r="A3" s="321" t="s">
        <v>89</v>
      </c>
      <c r="B3" s="321" t="s">
        <v>259</v>
      </c>
      <c r="C3" s="321" t="s">
        <v>7</v>
      </c>
      <c r="D3" s="321" t="s">
        <v>5</v>
      </c>
      <c r="E3" s="321"/>
      <c r="F3" s="321"/>
      <c r="G3" s="321"/>
      <c r="H3" s="492" t="s">
        <v>6</v>
      </c>
      <c r="I3" s="493"/>
      <c r="J3" s="493"/>
      <c r="K3" s="493"/>
      <c r="L3" s="493"/>
      <c r="M3" s="493"/>
      <c r="N3" s="493"/>
      <c r="O3" s="493"/>
      <c r="P3" s="493"/>
      <c r="Q3" s="494"/>
      <c r="R3" s="321" t="s">
        <v>541</v>
      </c>
    </row>
    <row r="4" spans="1:18" s="133" customFormat="1" ht="37.5" customHeight="1" x14ac:dyDescent="0.25">
      <c r="A4" s="321"/>
      <c r="B4" s="321"/>
      <c r="C4" s="321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6">
        <v>2020</v>
      </c>
      <c r="O4" s="6">
        <v>2021</v>
      </c>
      <c r="P4" s="6">
        <v>2022</v>
      </c>
      <c r="Q4" s="6" t="s">
        <v>11</v>
      </c>
      <c r="R4" s="321"/>
    </row>
    <row r="5" spans="1:18" ht="27" customHeight="1" x14ac:dyDescent="0.25">
      <c r="A5" s="328" t="s">
        <v>529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</row>
    <row r="6" spans="1:18" ht="27" customHeight="1" x14ac:dyDescent="0.25">
      <c r="A6" s="503" t="s">
        <v>542</v>
      </c>
      <c r="B6" s="504"/>
      <c r="C6" s="504"/>
      <c r="D6" s="504"/>
      <c r="E6" s="504"/>
      <c r="F6" s="504"/>
      <c r="G6" s="504"/>
      <c r="H6" s="504"/>
      <c r="I6" s="504"/>
      <c r="J6" s="504"/>
      <c r="K6" s="504"/>
      <c r="L6" s="504"/>
      <c r="M6" s="504"/>
      <c r="N6" s="504"/>
      <c r="O6" s="504"/>
      <c r="P6" s="504"/>
      <c r="Q6" s="504"/>
      <c r="R6" s="505"/>
    </row>
    <row r="7" spans="1:18" ht="45" customHeight="1" x14ac:dyDescent="0.25">
      <c r="A7" s="424" t="s">
        <v>181</v>
      </c>
      <c r="B7" s="316" t="s">
        <v>543</v>
      </c>
      <c r="C7" s="316" t="s">
        <v>262</v>
      </c>
      <c r="D7" s="159" t="s">
        <v>18</v>
      </c>
      <c r="E7" s="159" t="s">
        <v>423</v>
      </c>
      <c r="F7" s="159" t="s">
        <v>544</v>
      </c>
      <c r="G7" s="21">
        <v>120</v>
      </c>
      <c r="H7" s="302">
        <v>1257.5999999999999</v>
      </c>
      <c r="I7" s="302">
        <v>1420.8</v>
      </c>
      <c r="J7" s="302">
        <v>1452.9</v>
      </c>
      <c r="K7" s="302">
        <v>1366.4</v>
      </c>
      <c r="L7" s="302">
        <v>1552.5</v>
      </c>
      <c r="M7" s="302">
        <v>1792.7</v>
      </c>
      <c r="N7" s="302">
        <v>1794.9</v>
      </c>
      <c r="O7" s="302">
        <v>1794.9</v>
      </c>
      <c r="P7" s="302">
        <v>1794.9</v>
      </c>
      <c r="Q7" s="302">
        <f>SUM(H7:P7)</f>
        <v>14227.599999999999</v>
      </c>
      <c r="R7" s="318" t="s">
        <v>545</v>
      </c>
    </row>
    <row r="8" spans="1:18" ht="45" customHeight="1" x14ac:dyDescent="0.25">
      <c r="A8" s="425"/>
      <c r="B8" s="317"/>
      <c r="C8" s="317"/>
      <c r="D8" s="21">
        <v>975</v>
      </c>
      <c r="E8" s="159" t="s">
        <v>423</v>
      </c>
      <c r="F8" s="159" t="s">
        <v>544</v>
      </c>
      <c r="G8" s="21" t="s">
        <v>546</v>
      </c>
      <c r="H8" s="302">
        <v>318.60000000000002</v>
      </c>
      <c r="I8" s="302">
        <v>600.70000000000005</v>
      </c>
      <c r="J8" s="302">
        <v>513.5</v>
      </c>
      <c r="K8" s="302">
        <f>411.1+0.5</f>
        <v>411.6</v>
      </c>
      <c r="L8" s="302">
        <v>298.89999999999998</v>
      </c>
      <c r="M8" s="302">
        <v>317.5</v>
      </c>
      <c r="N8" s="302">
        <f>276.7+0.9</f>
        <v>277.59999999999997</v>
      </c>
      <c r="O8" s="302">
        <v>176.4</v>
      </c>
      <c r="P8" s="302">
        <v>176.4</v>
      </c>
      <c r="Q8" s="302">
        <f t="shared" ref="Q8:Q40" si="0">SUM(H8:P8)</f>
        <v>3091.2000000000003</v>
      </c>
      <c r="R8" s="319"/>
    </row>
    <row r="9" spans="1:18" ht="24.95" customHeight="1" x14ac:dyDescent="0.25">
      <c r="A9" s="425"/>
      <c r="B9" s="317"/>
      <c r="C9" s="317"/>
      <c r="D9" s="276" t="s">
        <v>18</v>
      </c>
      <c r="E9" s="159" t="s">
        <v>423</v>
      </c>
      <c r="F9" s="159" t="s">
        <v>547</v>
      </c>
      <c r="G9" s="21">
        <v>120</v>
      </c>
      <c r="H9" s="302">
        <v>330.4</v>
      </c>
      <c r="I9" s="302">
        <v>342.6</v>
      </c>
      <c r="J9" s="302">
        <v>342.6</v>
      </c>
      <c r="K9" s="302">
        <v>335.6</v>
      </c>
      <c r="L9" s="302">
        <v>343.5</v>
      </c>
      <c r="M9" s="302">
        <v>360.3</v>
      </c>
      <c r="N9" s="302">
        <v>339.4</v>
      </c>
      <c r="O9" s="302">
        <v>339.4</v>
      </c>
      <c r="P9" s="302">
        <v>339.4</v>
      </c>
      <c r="Q9" s="302">
        <f t="shared" si="0"/>
        <v>3073.2000000000003</v>
      </c>
      <c r="R9" s="303"/>
    </row>
    <row r="10" spans="1:18" ht="24.95" customHeight="1" x14ac:dyDescent="0.25">
      <c r="A10" s="425"/>
      <c r="B10" s="317"/>
      <c r="C10" s="317"/>
      <c r="D10" s="276" t="s">
        <v>18</v>
      </c>
      <c r="E10" s="159" t="s">
        <v>423</v>
      </c>
      <c r="F10" s="159" t="s">
        <v>548</v>
      </c>
      <c r="G10" s="21">
        <v>120</v>
      </c>
      <c r="H10" s="302"/>
      <c r="I10" s="302"/>
      <c r="J10" s="302"/>
      <c r="K10" s="302"/>
      <c r="L10" s="302"/>
      <c r="M10" s="302">
        <v>36.4</v>
      </c>
      <c r="N10" s="302"/>
      <c r="O10" s="302"/>
      <c r="P10" s="302">
        <f t="shared" ref="P10:P40" si="1">O10</f>
        <v>0</v>
      </c>
      <c r="Q10" s="302">
        <f t="shared" si="0"/>
        <v>36.4</v>
      </c>
      <c r="R10" s="303"/>
    </row>
    <row r="11" spans="1:18" ht="24.95" customHeight="1" x14ac:dyDescent="0.25">
      <c r="A11" s="425"/>
      <c r="B11" s="317"/>
      <c r="C11" s="317"/>
      <c r="D11" s="276" t="s">
        <v>18</v>
      </c>
      <c r="E11" s="159" t="s">
        <v>423</v>
      </c>
      <c r="F11" s="159" t="s">
        <v>549</v>
      </c>
      <c r="G11" s="21">
        <v>120</v>
      </c>
      <c r="H11" s="302"/>
      <c r="I11" s="302"/>
      <c r="J11" s="302"/>
      <c r="K11" s="302"/>
      <c r="L11" s="302">
        <v>96.2</v>
      </c>
      <c r="M11" s="302"/>
      <c r="N11" s="302"/>
      <c r="O11" s="302"/>
      <c r="P11" s="302">
        <f t="shared" si="1"/>
        <v>0</v>
      </c>
      <c r="Q11" s="302">
        <f t="shared" si="0"/>
        <v>96.2</v>
      </c>
      <c r="R11" s="303"/>
    </row>
    <row r="12" spans="1:18" ht="41.45" customHeight="1" x14ac:dyDescent="0.25">
      <c r="A12" s="425"/>
      <c r="B12" s="317"/>
      <c r="C12" s="317"/>
      <c r="D12" s="21">
        <v>975</v>
      </c>
      <c r="E12" s="159" t="s">
        <v>423</v>
      </c>
      <c r="F12" s="159" t="s">
        <v>550</v>
      </c>
      <c r="G12" s="21">
        <v>120</v>
      </c>
      <c r="H12" s="302"/>
      <c r="I12" s="302"/>
      <c r="J12" s="302"/>
      <c r="K12" s="302"/>
      <c r="L12" s="302">
        <v>12.8</v>
      </c>
      <c r="M12" s="302">
        <v>3.8</v>
      </c>
      <c r="N12" s="302"/>
      <c r="O12" s="302"/>
      <c r="P12" s="302">
        <f t="shared" si="1"/>
        <v>0</v>
      </c>
      <c r="Q12" s="302">
        <f t="shared" si="0"/>
        <v>16.600000000000001</v>
      </c>
      <c r="R12" s="303"/>
    </row>
    <row r="13" spans="1:18" ht="46.9" customHeight="1" x14ac:dyDescent="0.25">
      <c r="A13" s="426"/>
      <c r="B13" s="335"/>
      <c r="C13" s="335"/>
      <c r="D13" s="21">
        <v>975</v>
      </c>
      <c r="E13" s="159" t="s">
        <v>423</v>
      </c>
      <c r="F13" s="159" t="s">
        <v>551</v>
      </c>
      <c r="G13" s="21">
        <v>120</v>
      </c>
      <c r="H13" s="302"/>
      <c r="I13" s="302"/>
      <c r="J13" s="302"/>
      <c r="K13" s="302"/>
      <c r="L13" s="302">
        <v>55.9</v>
      </c>
      <c r="M13" s="302">
        <v>18.100000000000001</v>
      </c>
      <c r="N13" s="302"/>
      <c r="O13" s="302"/>
      <c r="P13" s="302">
        <f t="shared" si="1"/>
        <v>0</v>
      </c>
      <c r="Q13" s="302">
        <f t="shared" si="0"/>
        <v>74</v>
      </c>
      <c r="R13" s="303"/>
    </row>
    <row r="14" spans="1:18" ht="45" customHeight="1" x14ac:dyDescent="0.25">
      <c r="A14" s="272" t="s">
        <v>552</v>
      </c>
      <c r="B14" s="275" t="s">
        <v>553</v>
      </c>
      <c r="C14" s="20" t="s">
        <v>554</v>
      </c>
      <c r="D14" s="159" t="s">
        <v>18</v>
      </c>
      <c r="E14" s="159" t="s">
        <v>423</v>
      </c>
      <c r="F14" s="159" t="s">
        <v>555</v>
      </c>
      <c r="G14" s="21">
        <v>110</v>
      </c>
      <c r="H14" s="302">
        <v>623.6</v>
      </c>
      <c r="I14" s="302">
        <v>623.6</v>
      </c>
      <c r="J14" s="302">
        <v>623.6</v>
      </c>
      <c r="K14" s="302">
        <v>610</v>
      </c>
      <c r="L14" s="302">
        <f>623.6</f>
        <v>623.6</v>
      </c>
      <c r="M14" s="302">
        <v>623.6</v>
      </c>
      <c r="N14" s="302">
        <v>623.6</v>
      </c>
      <c r="O14" s="302">
        <v>623.6</v>
      </c>
      <c r="P14" s="302">
        <f t="shared" si="1"/>
        <v>623.6</v>
      </c>
      <c r="Q14" s="302">
        <f t="shared" si="0"/>
        <v>5598.8000000000011</v>
      </c>
      <c r="R14" s="171" t="s">
        <v>556</v>
      </c>
    </row>
    <row r="15" spans="1:18" ht="24.95" customHeight="1" x14ac:dyDescent="0.25">
      <c r="A15" s="397" t="s">
        <v>557</v>
      </c>
      <c r="B15" s="321" t="s">
        <v>558</v>
      </c>
      <c r="C15" s="321" t="s">
        <v>559</v>
      </c>
      <c r="D15" s="159" t="s">
        <v>22</v>
      </c>
      <c r="E15" s="159" t="s">
        <v>423</v>
      </c>
      <c r="F15" s="159" t="s">
        <v>560</v>
      </c>
      <c r="G15" s="21">
        <v>110</v>
      </c>
      <c r="H15" s="304"/>
      <c r="I15" s="304"/>
      <c r="J15" s="304"/>
      <c r="K15" s="304"/>
      <c r="L15" s="304">
        <v>564.29999999999995</v>
      </c>
      <c r="M15" s="304"/>
      <c r="N15" s="304"/>
      <c r="O15" s="304"/>
      <c r="P15" s="302">
        <f t="shared" si="1"/>
        <v>0</v>
      </c>
      <c r="Q15" s="302">
        <f t="shared" si="0"/>
        <v>564.29999999999995</v>
      </c>
      <c r="R15" s="328" t="s">
        <v>561</v>
      </c>
    </row>
    <row r="16" spans="1:18" ht="24.95" customHeight="1" x14ac:dyDescent="0.25">
      <c r="A16" s="397"/>
      <c r="B16" s="321"/>
      <c r="C16" s="321"/>
      <c r="D16" s="159" t="s">
        <v>22</v>
      </c>
      <c r="E16" s="159" t="s">
        <v>423</v>
      </c>
      <c r="F16" s="159" t="s">
        <v>555</v>
      </c>
      <c r="G16" s="21">
        <v>110</v>
      </c>
      <c r="H16" s="304">
        <v>13131.6</v>
      </c>
      <c r="I16" s="304">
        <v>13815.5</v>
      </c>
      <c r="J16" s="304">
        <v>14161.8</v>
      </c>
      <c r="K16" s="304">
        <v>14410.6</v>
      </c>
      <c r="L16" s="304">
        <f>11061.4+19+3328.3</f>
        <v>14408.7</v>
      </c>
      <c r="M16" s="304">
        <v>15224.3</v>
      </c>
      <c r="N16" s="304">
        <v>14940.6</v>
      </c>
      <c r="O16" s="304">
        <v>14940.6</v>
      </c>
      <c r="P16" s="302">
        <f t="shared" si="1"/>
        <v>14940.6</v>
      </c>
      <c r="Q16" s="302">
        <f t="shared" si="0"/>
        <v>129974.30000000002</v>
      </c>
      <c r="R16" s="328"/>
    </row>
    <row r="17" spans="1:18" ht="24.95" customHeight="1" x14ac:dyDescent="0.25">
      <c r="A17" s="397"/>
      <c r="B17" s="321"/>
      <c r="C17" s="321"/>
      <c r="D17" s="159" t="s">
        <v>22</v>
      </c>
      <c r="E17" s="159" t="s">
        <v>423</v>
      </c>
      <c r="F17" s="159" t="s">
        <v>562</v>
      </c>
      <c r="G17" s="21">
        <v>110</v>
      </c>
      <c r="H17" s="304"/>
      <c r="I17" s="304">
        <v>9.6999999999999993</v>
      </c>
      <c r="J17" s="304">
        <v>10.9</v>
      </c>
      <c r="K17" s="304">
        <v>12.4</v>
      </c>
      <c r="L17" s="304">
        <v>52.5</v>
      </c>
      <c r="M17" s="304">
        <v>130.5</v>
      </c>
      <c r="N17" s="304">
        <v>125.1</v>
      </c>
      <c r="O17" s="304">
        <v>125.1</v>
      </c>
      <c r="P17" s="304">
        <v>125.1</v>
      </c>
      <c r="Q17" s="302">
        <f t="shared" si="0"/>
        <v>591.30000000000007</v>
      </c>
      <c r="R17" s="328"/>
    </row>
    <row r="18" spans="1:18" ht="39.6" customHeight="1" x14ac:dyDescent="0.25">
      <c r="A18" s="397"/>
      <c r="B18" s="321"/>
      <c r="C18" s="321"/>
      <c r="D18" s="159" t="s">
        <v>22</v>
      </c>
      <c r="E18" s="159" t="s">
        <v>423</v>
      </c>
      <c r="F18" s="159" t="s">
        <v>563</v>
      </c>
      <c r="G18" s="21">
        <v>110</v>
      </c>
      <c r="H18" s="304"/>
      <c r="I18" s="304"/>
      <c r="J18" s="304"/>
      <c r="K18" s="304"/>
      <c r="L18" s="304"/>
      <c r="M18" s="304">
        <v>8.9</v>
      </c>
      <c r="N18" s="304">
        <v>83.6</v>
      </c>
      <c r="O18" s="304">
        <v>0</v>
      </c>
      <c r="P18" s="302">
        <v>0</v>
      </c>
      <c r="Q18" s="302">
        <f t="shared" si="0"/>
        <v>92.5</v>
      </c>
      <c r="R18" s="328"/>
    </row>
    <row r="19" spans="1:18" ht="24.95" customHeight="1" x14ac:dyDescent="0.25">
      <c r="A19" s="397"/>
      <c r="B19" s="321"/>
      <c r="C19" s="321"/>
      <c r="D19" s="159" t="s">
        <v>22</v>
      </c>
      <c r="E19" s="159" t="s">
        <v>423</v>
      </c>
      <c r="F19" s="159" t="s">
        <v>564</v>
      </c>
      <c r="G19" s="21">
        <v>110</v>
      </c>
      <c r="H19" s="304"/>
      <c r="I19" s="304"/>
      <c r="J19" s="304"/>
      <c r="K19" s="304"/>
      <c r="L19" s="304"/>
      <c r="M19" s="304">
        <v>137.6</v>
      </c>
      <c r="N19" s="304"/>
      <c r="O19" s="304"/>
      <c r="P19" s="302"/>
      <c r="Q19" s="302">
        <f t="shared" si="0"/>
        <v>137.6</v>
      </c>
      <c r="R19" s="328"/>
    </row>
    <row r="20" spans="1:18" ht="24.95" customHeight="1" x14ac:dyDescent="0.25">
      <c r="A20" s="397"/>
      <c r="B20" s="321"/>
      <c r="C20" s="321"/>
      <c r="D20" s="159" t="s">
        <v>22</v>
      </c>
      <c r="E20" s="159" t="s">
        <v>423</v>
      </c>
      <c r="F20" s="159" t="s">
        <v>555</v>
      </c>
      <c r="G20" s="21">
        <v>850</v>
      </c>
      <c r="H20" s="304">
        <v>0</v>
      </c>
      <c r="I20" s="304">
        <v>0</v>
      </c>
      <c r="J20" s="304">
        <v>0</v>
      </c>
      <c r="K20" s="304">
        <v>21.8</v>
      </c>
      <c r="L20" s="304">
        <v>0.01</v>
      </c>
      <c r="M20" s="304"/>
      <c r="N20" s="304"/>
      <c r="O20" s="304"/>
      <c r="P20" s="302">
        <f t="shared" si="1"/>
        <v>0</v>
      </c>
      <c r="Q20" s="302">
        <f t="shared" si="0"/>
        <v>21.810000000000002</v>
      </c>
      <c r="R20" s="328"/>
    </row>
    <row r="21" spans="1:18" ht="24.95" customHeight="1" x14ac:dyDescent="0.25">
      <c r="A21" s="397"/>
      <c r="B21" s="321"/>
      <c r="C21" s="321"/>
      <c r="D21" s="159" t="s">
        <v>22</v>
      </c>
      <c r="E21" s="159" t="s">
        <v>423</v>
      </c>
      <c r="F21" s="159" t="s">
        <v>555</v>
      </c>
      <c r="G21" s="21">
        <v>240</v>
      </c>
      <c r="H21" s="304">
        <v>1021.5</v>
      </c>
      <c r="I21" s="304">
        <v>1111.2</v>
      </c>
      <c r="J21" s="304">
        <v>1144</v>
      </c>
      <c r="K21" s="304">
        <v>927.7</v>
      </c>
      <c r="L21" s="304">
        <v>969.6</v>
      </c>
      <c r="M21" s="304">
        <v>1242.5</v>
      </c>
      <c r="N21" s="304">
        <f>995.3+78.6</f>
        <v>1073.8999999999999</v>
      </c>
      <c r="O21" s="304">
        <v>995.3</v>
      </c>
      <c r="P21" s="304">
        <v>995.3</v>
      </c>
      <c r="Q21" s="302">
        <f t="shared" si="0"/>
        <v>9480.9999999999982</v>
      </c>
      <c r="R21" s="328"/>
    </row>
    <row r="22" spans="1:18" ht="24.95" customHeight="1" x14ac:dyDescent="0.25">
      <c r="A22" s="397" t="s">
        <v>565</v>
      </c>
      <c r="B22" s="328" t="s">
        <v>566</v>
      </c>
      <c r="C22" s="328" t="s">
        <v>567</v>
      </c>
      <c r="D22" s="159" t="s">
        <v>18</v>
      </c>
      <c r="E22" s="159" t="s">
        <v>423</v>
      </c>
      <c r="F22" s="159" t="s">
        <v>555</v>
      </c>
      <c r="G22" s="21">
        <v>110</v>
      </c>
      <c r="H22" s="304">
        <f>2965-H14</f>
        <v>2341.4</v>
      </c>
      <c r="I22" s="304">
        <f>3154-I14</f>
        <v>2530.4</v>
      </c>
      <c r="J22" s="304">
        <f>3155.8-J14</f>
        <v>2532.2000000000003</v>
      </c>
      <c r="K22" s="304">
        <f>4414.9-K14</f>
        <v>3804.8999999999996</v>
      </c>
      <c r="L22" s="304">
        <f>4501.5-L14</f>
        <v>3877.9</v>
      </c>
      <c r="M22" s="304">
        <f>4633.1-M14</f>
        <v>4009.5000000000005</v>
      </c>
      <c r="N22" s="304">
        <f>4946.7-N14</f>
        <v>4323.0999999999995</v>
      </c>
      <c r="O22" s="304">
        <f>4946.7-O14</f>
        <v>4323.0999999999995</v>
      </c>
      <c r="P22" s="304">
        <f>4946.7-P14</f>
        <v>4323.0999999999995</v>
      </c>
      <c r="Q22" s="302">
        <f t="shared" si="0"/>
        <v>32065.599999999995</v>
      </c>
      <c r="R22" s="328" t="s">
        <v>568</v>
      </c>
    </row>
    <row r="23" spans="1:18" ht="24.95" customHeight="1" x14ac:dyDescent="0.25">
      <c r="A23" s="397"/>
      <c r="B23" s="328"/>
      <c r="C23" s="328"/>
      <c r="D23" s="159" t="s">
        <v>18</v>
      </c>
      <c r="E23" s="159" t="s">
        <v>423</v>
      </c>
      <c r="F23" s="159" t="s">
        <v>555</v>
      </c>
      <c r="G23" s="21">
        <v>240</v>
      </c>
      <c r="H23" s="304">
        <v>452.8</v>
      </c>
      <c r="I23" s="304">
        <v>540.79999999999995</v>
      </c>
      <c r="J23" s="304">
        <v>696.6</v>
      </c>
      <c r="K23" s="304">
        <v>1035.5</v>
      </c>
      <c r="L23" s="304">
        <v>708.9</v>
      </c>
      <c r="M23" s="304">
        <f>374+50</f>
        <v>424</v>
      </c>
      <c r="N23" s="304">
        <f>249.9+83.2+60</f>
        <v>393.1</v>
      </c>
      <c r="O23" s="304">
        <v>249.9</v>
      </c>
      <c r="P23" s="304">
        <v>249.9</v>
      </c>
      <c r="Q23" s="302">
        <f t="shared" si="0"/>
        <v>4751.4999999999991</v>
      </c>
      <c r="R23" s="328"/>
    </row>
    <row r="24" spans="1:18" ht="24.95" customHeight="1" x14ac:dyDescent="0.25">
      <c r="A24" s="397"/>
      <c r="B24" s="328"/>
      <c r="C24" s="328"/>
      <c r="D24" s="159" t="s">
        <v>18</v>
      </c>
      <c r="E24" s="159" t="s">
        <v>423</v>
      </c>
      <c r="F24" s="159" t="s">
        <v>562</v>
      </c>
      <c r="G24" s="21">
        <v>110</v>
      </c>
      <c r="H24" s="304">
        <v>17.100000000000001</v>
      </c>
      <c r="I24" s="304">
        <v>29.8</v>
      </c>
      <c r="J24" s="304">
        <v>46.6</v>
      </c>
      <c r="K24" s="304">
        <v>58.6</v>
      </c>
      <c r="L24" s="304">
        <v>84.9</v>
      </c>
      <c r="M24" s="304">
        <v>136</v>
      </c>
      <c r="N24" s="304">
        <v>115.1</v>
      </c>
      <c r="O24" s="304">
        <v>115.1</v>
      </c>
      <c r="P24" s="304">
        <v>115.1</v>
      </c>
      <c r="Q24" s="302">
        <f t="shared" si="0"/>
        <v>718.30000000000007</v>
      </c>
      <c r="R24" s="328"/>
    </row>
    <row r="25" spans="1:18" ht="24.95" customHeight="1" x14ac:dyDescent="0.25">
      <c r="A25" s="397"/>
      <c r="B25" s="328"/>
      <c r="C25" s="328"/>
      <c r="D25" s="159" t="s">
        <v>18</v>
      </c>
      <c r="E25" s="159" t="s">
        <v>423</v>
      </c>
      <c r="F25" s="159" t="s">
        <v>569</v>
      </c>
      <c r="G25" s="21">
        <v>110</v>
      </c>
      <c r="H25" s="304">
        <v>41.5</v>
      </c>
      <c r="I25" s="304">
        <v>4.4000000000000004</v>
      </c>
      <c r="J25" s="304"/>
      <c r="K25" s="304"/>
      <c r="L25" s="304"/>
      <c r="M25" s="304"/>
      <c r="N25" s="304"/>
      <c r="O25" s="304"/>
      <c r="P25" s="302">
        <f t="shared" si="1"/>
        <v>0</v>
      </c>
      <c r="Q25" s="302">
        <f t="shared" si="0"/>
        <v>45.9</v>
      </c>
      <c r="R25" s="328"/>
    </row>
    <row r="26" spans="1:18" ht="24.95" customHeight="1" x14ac:dyDescent="0.25">
      <c r="A26" s="397"/>
      <c r="B26" s="328"/>
      <c r="C26" s="328"/>
      <c r="D26" s="159" t="s">
        <v>18</v>
      </c>
      <c r="E26" s="159" t="s">
        <v>423</v>
      </c>
      <c r="F26" s="159" t="s">
        <v>564</v>
      </c>
      <c r="G26" s="21">
        <v>110</v>
      </c>
      <c r="H26" s="304">
        <v>0.6</v>
      </c>
      <c r="I26" s="304"/>
      <c r="J26" s="304"/>
      <c r="K26" s="304"/>
      <c r="L26" s="304"/>
      <c r="M26" s="304">
        <v>52.2</v>
      </c>
      <c r="N26" s="304"/>
      <c r="O26" s="304"/>
      <c r="P26" s="302">
        <f t="shared" si="1"/>
        <v>0</v>
      </c>
      <c r="Q26" s="302">
        <f t="shared" si="0"/>
        <v>52.800000000000004</v>
      </c>
      <c r="R26" s="328"/>
    </row>
    <row r="27" spans="1:18" ht="37.9" customHeight="1" x14ac:dyDescent="0.25">
      <c r="A27" s="397"/>
      <c r="B27" s="328"/>
      <c r="C27" s="328"/>
      <c r="D27" s="159" t="s">
        <v>18</v>
      </c>
      <c r="E27" s="159" t="s">
        <v>423</v>
      </c>
      <c r="F27" s="159" t="s">
        <v>563</v>
      </c>
      <c r="G27" s="21">
        <v>110</v>
      </c>
      <c r="H27" s="304"/>
      <c r="I27" s="304"/>
      <c r="J27" s="304"/>
      <c r="K27" s="304"/>
      <c r="L27" s="304"/>
      <c r="M27" s="304">
        <v>1.3</v>
      </c>
      <c r="N27" s="304">
        <v>12.5</v>
      </c>
      <c r="O27" s="304">
        <v>0</v>
      </c>
      <c r="P27" s="302">
        <v>0</v>
      </c>
      <c r="Q27" s="302">
        <f t="shared" si="0"/>
        <v>13.8</v>
      </c>
      <c r="R27" s="328"/>
    </row>
    <row r="28" spans="1:18" ht="24.6" customHeight="1" x14ac:dyDescent="0.25">
      <c r="A28" s="397"/>
      <c r="B28" s="328"/>
      <c r="C28" s="328"/>
      <c r="D28" s="159" t="s">
        <v>18</v>
      </c>
      <c r="E28" s="159" t="s">
        <v>423</v>
      </c>
      <c r="F28" s="159" t="s">
        <v>555</v>
      </c>
      <c r="G28" s="21">
        <v>350</v>
      </c>
      <c r="H28" s="304"/>
      <c r="I28" s="304"/>
      <c r="J28" s="304">
        <v>178.1</v>
      </c>
      <c r="K28" s="304">
        <v>228.1</v>
      </c>
      <c r="L28" s="304">
        <v>209.8</v>
      </c>
      <c r="M28" s="304">
        <v>280</v>
      </c>
      <c r="N28" s="304">
        <v>200</v>
      </c>
      <c r="O28" s="304">
        <v>200</v>
      </c>
      <c r="P28" s="304">
        <v>200</v>
      </c>
      <c r="Q28" s="302">
        <f t="shared" si="0"/>
        <v>1496</v>
      </c>
      <c r="R28" s="328"/>
    </row>
    <row r="29" spans="1:18" ht="24.95" customHeight="1" x14ac:dyDescent="0.25">
      <c r="A29" s="397"/>
      <c r="B29" s="328"/>
      <c r="C29" s="328"/>
      <c r="D29" s="159" t="s">
        <v>18</v>
      </c>
      <c r="E29" s="159" t="s">
        <v>423</v>
      </c>
      <c r="F29" s="159" t="s">
        <v>555</v>
      </c>
      <c r="G29" s="21">
        <v>360</v>
      </c>
      <c r="H29" s="304"/>
      <c r="I29" s="304"/>
      <c r="J29" s="304">
        <v>102</v>
      </c>
      <c r="K29" s="304">
        <v>70</v>
      </c>
      <c r="L29" s="304">
        <v>100</v>
      </c>
      <c r="M29" s="304"/>
      <c r="N29" s="304"/>
      <c r="O29" s="304"/>
      <c r="P29" s="302">
        <f t="shared" si="1"/>
        <v>0</v>
      </c>
      <c r="Q29" s="302">
        <f t="shared" si="0"/>
        <v>272</v>
      </c>
      <c r="R29" s="328"/>
    </row>
    <row r="30" spans="1:18" ht="24.95" customHeight="1" x14ac:dyDescent="0.25">
      <c r="A30" s="397"/>
      <c r="B30" s="328"/>
      <c r="C30" s="328"/>
      <c r="D30" s="159" t="s">
        <v>18</v>
      </c>
      <c r="E30" s="159" t="s">
        <v>423</v>
      </c>
      <c r="F30" s="159" t="s">
        <v>555</v>
      </c>
      <c r="G30" s="21">
        <v>850</v>
      </c>
      <c r="H30" s="304"/>
      <c r="I30" s="304"/>
      <c r="J30" s="304"/>
      <c r="K30" s="304">
        <v>10.1</v>
      </c>
      <c r="L30" s="304"/>
      <c r="M30" s="304">
        <v>0.1</v>
      </c>
      <c r="N30" s="304"/>
      <c r="O30" s="304"/>
      <c r="P30" s="302">
        <f t="shared" si="1"/>
        <v>0</v>
      </c>
      <c r="Q30" s="302">
        <f t="shared" si="0"/>
        <v>10.199999999999999</v>
      </c>
      <c r="R30" s="328"/>
    </row>
    <row r="31" spans="1:18" ht="42.6" customHeight="1" x14ac:dyDescent="0.25">
      <c r="A31" s="397"/>
      <c r="B31" s="328"/>
      <c r="C31" s="328"/>
      <c r="D31" s="159" t="s">
        <v>18</v>
      </c>
      <c r="E31" s="159" t="s">
        <v>423</v>
      </c>
      <c r="F31" s="159" t="s">
        <v>560</v>
      </c>
      <c r="G31" s="21">
        <v>110</v>
      </c>
      <c r="H31" s="304"/>
      <c r="I31" s="304"/>
      <c r="J31" s="304"/>
      <c r="K31" s="304"/>
      <c r="L31" s="304">
        <v>164.2</v>
      </c>
      <c r="M31" s="304"/>
      <c r="N31" s="304"/>
      <c r="O31" s="304"/>
      <c r="P31" s="302">
        <f t="shared" si="1"/>
        <v>0</v>
      </c>
      <c r="Q31" s="302">
        <f t="shared" si="0"/>
        <v>164.2</v>
      </c>
      <c r="R31" s="328"/>
    </row>
    <row r="32" spans="1:18" ht="24.95" customHeight="1" x14ac:dyDescent="0.25">
      <c r="A32" s="397"/>
      <c r="B32" s="328"/>
      <c r="C32" s="328"/>
      <c r="D32" s="159" t="s">
        <v>18</v>
      </c>
      <c r="E32" s="159" t="s">
        <v>423</v>
      </c>
      <c r="F32" s="159" t="s">
        <v>570</v>
      </c>
      <c r="G32" s="21">
        <v>110</v>
      </c>
      <c r="H32" s="304">
        <v>0</v>
      </c>
      <c r="I32" s="304">
        <v>0</v>
      </c>
      <c r="J32" s="304">
        <v>0</v>
      </c>
      <c r="K32" s="304">
        <v>210.1</v>
      </c>
      <c r="L32" s="304"/>
      <c r="M32" s="304">
        <v>0</v>
      </c>
      <c r="N32" s="304">
        <v>0</v>
      </c>
      <c r="O32" s="304">
        <v>0</v>
      </c>
      <c r="P32" s="302">
        <f t="shared" si="1"/>
        <v>0</v>
      </c>
      <c r="Q32" s="302">
        <f t="shared" si="0"/>
        <v>210.1</v>
      </c>
      <c r="R32" s="328"/>
    </row>
    <row r="33" spans="1:18" ht="48.6" customHeight="1" x14ac:dyDescent="0.25">
      <c r="A33" s="407" t="s">
        <v>571</v>
      </c>
      <c r="B33" s="316" t="s">
        <v>572</v>
      </c>
      <c r="C33" s="316" t="s">
        <v>573</v>
      </c>
      <c r="D33" s="159" t="s">
        <v>18</v>
      </c>
      <c r="E33" s="159" t="s">
        <v>423</v>
      </c>
      <c r="F33" s="159" t="s">
        <v>555</v>
      </c>
      <c r="G33" s="21">
        <v>110</v>
      </c>
      <c r="H33" s="304"/>
      <c r="I33" s="304"/>
      <c r="J33" s="304"/>
      <c r="K33" s="304"/>
      <c r="L33" s="304"/>
      <c r="M33" s="304">
        <v>2933.4</v>
      </c>
      <c r="N33" s="304">
        <v>7518.5</v>
      </c>
      <c r="O33" s="304">
        <f>N33</f>
        <v>7518.5</v>
      </c>
      <c r="P33" s="302">
        <f t="shared" si="1"/>
        <v>7518.5</v>
      </c>
      <c r="Q33" s="302">
        <f t="shared" si="0"/>
        <v>25488.9</v>
      </c>
      <c r="R33" s="328"/>
    </row>
    <row r="34" spans="1:18" ht="48.6" customHeight="1" x14ac:dyDescent="0.25">
      <c r="A34" s="502"/>
      <c r="B34" s="317"/>
      <c r="C34" s="317"/>
      <c r="D34" s="159" t="s">
        <v>18</v>
      </c>
      <c r="E34" s="159" t="s">
        <v>423</v>
      </c>
      <c r="F34" s="159" t="s">
        <v>563</v>
      </c>
      <c r="G34" s="21">
        <v>110</v>
      </c>
      <c r="H34" s="304"/>
      <c r="I34" s="304"/>
      <c r="J34" s="304"/>
      <c r="K34" s="304"/>
      <c r="L34" s="304"/>
      <c r="M34" s="304">
        <v>24</v>
      </c>
      <c r="N34" s="304">
        <v>217.4</v>
      </c>
      <c r="O34" s="304"/>
      <c r="P34" s="302"/>
      <c r="Q34" s="302">
        <f t="shared" si="0"/>
        <v>241.4</v>
      </c>
      <c r="R34" s="328"/>
    </row>
    <row r="35" spans="1:18" ht="48.6" customHeight="1" x14ac:dyDescent="0.25">
      <c r="A35" s="502"/>
      <c r="B35" s="317"/>
      <c r="C35" s="317"/>
      <c r="D35" s="159" t="s">
        <v>18</v>
      </c>
      <c r="E35" s="159" t="s">
        <v>423</v>
      </c>
      <c r="F35" s="159" t="s">
        <v>574</v>
      </c>
      <c r="G35" s="21">
        <v>110</v>
      </c>
      <c r="H35" s="304"/>
      <c r="I35" s="304"/>
      <c r="J35" s="304"/>
      <c r="K35" s="304"/>
      <c r="L35" s="304"/>
      <c r="M35" s="304">
        <v>172.3</v>
      </c>
      <c r="N35" s="304"/>
      <c r="O35" s="304"/>
      <c r="P35" s="302"/>
      <c r="Q35" s="302">
        <f t="shared" si="0"/>
        <v>172.3</v>
      </c>
      <c r="R35" s="328"/>
    </row>
    <row r="36" spans="1:18" ht="48.6" customHeight="1" x14ac:dyDescent="0.25">
      <c r="A36" s="502"/>
      <c r="B36" s="317"/>
      <c r="C36" s="317"/>
      <c r="D36" s="159" t="s">
        <v>18</v>
      </c>
      <c r="E36" s="159" t="s">
        <v>423</v>
      </c>
      <c r="F36" s="159" t="s">
        <v>564</v>
      </c>
      <c r="G36" s="21">
        <v>110</v>
      </c>
      <c r="H36" s="304"/>
      <c r="I36" s="304"/>
      <c r="J36" s="304"/>
      <c r="K36" s="304"/>
      <c r="L36" s="304"/>
      <c r="M36" s="304">
        <v>51.5</v>
      </c>
      <c r="N36" s="304"/>
      <c r="O36" s="304"/>
      <c r="P36" s="302"/>
      <c r="Q36" s="302">
        <f t="shared" si="0"/>
        <v>51.5</v>
      </c>
      <c r="R36" s="328"/>
    </row>
    <row r="37" spans="1:18" ht="24.95" customHeight="1" x14ac:dyDescent="0.25">
      <c r="A37" s="502"/>
      <c r="B37" s="317"/>
      <c r="C37" s="317"/>
      <c r="D37" s="159" t="s">
        <v>18</v>
      </c>
      <c r="E37" s="159" t="s">
        <v>423</v>
      </c>
      <c r="F37" s="159" t="s">
        <v>555</v>
      </c>
      <c r="G37" s="21">
        <v>240</v>
      </c>
      <c r="H37" s="304"/>
      <c r="I37" s="304"/>
      <c r="J37" s="304"/>
      <c r="K37" s="304"/>
      <c r="L37" s="304"/>
      <c r="M37" s="304">
        <v>2454.6</v>
      </c>
      <c r="N37" s="304">
        <v>3304.9</v>
      </c>
      <c r="O37" s="304">
        <f>N37</f>
        <v>3304.9</v>
      </c>
      <c r="P37" s="302">
        <f t="shared" si="1"/>
        <v>3304.9</v>
      </c>
      <c r="Q37" s="302">
        <f t="shared" si="0"/>
        <v>12369.3</v>
      </c>
      <c r="R37" s="328"/>
    </row>
    <row r="38" spans="1:18" ht="24.95" customHeight="1" x14ac:dyDescent="0.25">
      <c r="A38" s="502"/>
      <c r="B38" s="317"/>
      <c r="C38" s="317"/>
      <c r="D38" s="159" t="s">
        <v>18</v>
      </c>
      <c r="E38" s="159" t="s">
        <v>423</v>
      </c>
      <c r="F38" s="159" t="s">
        <v>555</v>
      </c>
      <c r="G38" s="21">
        <v>320</v>
      </c>
      <c r="H38" s="304"/>
      <c r="I38" s="304"/>
      <c r="J38" s="304"/>
      <c r="K38" s="304"/>
      <c r="L38" s="304"/>
      <c r="M38" s="304">
        <v>310.10000000000002</v>
      </c>
      <c r="N38" s="304"/>
      <c r="O38" s="304"/>
      <c r="P38" s="302">
        <f t="shared" si="1"/>
        <v>0</v>
      </c>
      <c r="Q38" s="302">
        <f t="shared" si="0"/>
        <v>310.10000000000002</v>
      </c>
      <c r="R38" s="328"/>
    </row>
    <row r="39" spans="1:18" ht="24.95" customHeight="1" x14ac:dyDescent="0.25">
      <c r="A39" s="502"/>
      <c r="B39" s="317"/>
      <c r="C39" s="317"/>
      <c r="D39" s="159" t="s">
        <v>18</v>
      </c>
      <c r="E39" s="159" t="s">
        <v>423</v>
      </c>
      <c r="F39" s="159" t="s">
        <v>555</v>
      </c>
      <c r="G39" s="21">
        <v>850</v>
      </c>
      <c r="H39" s="304"/>
      <c r="I39" s="304"/>
      <c r="J39" s="304"/>
      <c r="K39" s="304"/>
      <c r="L39" s="304"/>
      <c r="M39" s="304">
        <v>29.3</v>
      </c>
      <c r="N39" s="304">
        <v>37</v>
      </c>
      <c r="O39" s="304">
        <f>N39</f>
        <v>37</v>
      </c>
      <c r="P39" s="302">
        <f t="shared" si="1"/>
        <v>37</v>
      </c>
      <c r="Q39" s="302">
        <f t="shared" si="0"/>
        <v>140.30000000000001</v>
      </c>
      <c r="R39" s="328"/>
    </row>
    <row r="40" spans="1:18" ht="24.95" customHeight="1" x14ac:dyDescent="0.25">
      <c r="A40" s="408"/>
      <c r="B40" s="335"/>
      <c r="C40" s="335"/>
      <c r="D40" s="159" t="s">
        <v>18</v>
      </c>
      <c r="E40" s="159" t="s">
        <v>423</v>
      </c>
      <c r="F40" s="159" t="s">
        <v>562</v>
      </c>
      <c r="G40" s="21">
        <v>110</v>
      </c>
      <c r="H40" s="304"/>
      <c r="I40" s="304"/>
      <c r="J40" s="304"/>
      <c r="K40" s="304"/>
      <c r="L40" s="304"/>
      <c r="M40" s="304">
        <v>1700.2</v>
      </c>
      <c r="N40" s="304">
        <v>2634.8</v>
      </c>
      <c r="O40" s="304">
        <f>N40</f>
        <v>2634.8</v>
      </c>
      <c r="P40" s="302">
        <f t="shared" si="1"/>
        <v>2634.8</v>
      </c>
      <c r="Q40" s="302">
        <f t="shared" si="0"/>
        <v>9604.6</v>
      </c>
      <c r="R40" s="328"/>
    </row>
    <row r="41" spans="1:18" ht="24.95" customHeight="1" x14ac:dyDescent="0.25">
      <c r="A41" s="501" t="s">
        <v>319</v>
      </c>
      <c r="B41" s="501"/>
      <c r="C41" s="6"/>
      <c r="D41" s="159"/>
      <c r="E41" s="159"/>
      <c r="F41" s="177"/>
      <c r="G41" s="159"/>
      <c r="H41" s="304">
        <f>SUM(H7:H32)</f>
        <v>19536.699999999997</v>
      </c>
      <c r="I41" s="304">
        <f>SUM(I7:I32)</f>
        <v>21029.500000000004</v>
      </c>
      <c r="J41" s="304">
        <f>SUM(J7:J32)</f>
        <v>21804.799999999996</v>
      </c>
      <c r="K41" s="304">
        <f>SUM(K7:K32)</f>
        <v>23513.399999999994</v>
      </c>
      <c r="L41" s="304">
        <f>SUM(L7:L32)</f>
        <v>24124.210000000003</v>
      </c>
      <c r="M41" s="304">
        <f>SUM(M7:M40)</f>
        <v>32474.699999999997</v>
      </c>
      <c r="N41" s="304">
        <f>SUM(N7:N40)</f>
        <v>38015.1</v>
      </c>
      <c r="O41" s="304">
        <f>SUM(O7:O40)</f>
        <v>37378.6</v>
      </c>
      <c r="P41" s="304">
        <f>SUM(P7:P40)</f>
        <v>37378.6</v>
      </c>
      <c r="Q41" s="304">
        <f>SUM(Q7:Q40)</f>
        <v>255255.60999999996</v>
      </c>
      <c r="R41" s="328"/>
    </row>
    <row r="42" spans="1:18" ht="35.1" customHeight="1" x14ac:dyDescent="0.25">
      <c r="A42" s="423" t="s">
        <v>537</v>
      </c>
      <c r="B42" s="423"/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  <c r="O42" s="423"/>
      <c r="P42" s="423"/>
      <c r="Q42" s="423"/>
      <c r="R42" s="423"/>
    </row>
    <row r="43" spans="1:18" ht="24.95" customHeight="1" x14ac:dyDescent="0.25">
      <c r="A43" s="397" t="s">
        <v>575</v>
      </c>
      <c r="B43" s="499" t="s">
        <v>576</v>
      </c>
      <c r="C43" s="328" t="s">
        <v>577</v>
      </c>
      <c r="D43" s="451" t="s">
        <v>18</v>
      </c>
      <c r="E43" s="453" t="s">
        <v>423</v>
      </c>
      <c r="F43" s="159" t="s">
        <v>578</v>
      </c>
      <c r="G43" s="6">
        <v>120</v>
      </c>
      <c r="H43" s="304">
        <v>817.5</v>
      </c>
      <c r="I43" s="304">
        <v>841.6</v>
      </c>
      <c r="J43" s="304">
        <v>858.7</v>
      </c>
      <c r="K43" s="304">
        <v>858.7</v>
      </c>
      <c r="L43" s="304">
        <v>1430.7</v>
      </c>
      <c r="M43" s="304">
        <v>1626.7</v>
      </c>
      <c r="N43" s="304">
        <v>1694.2</v>
      </c>
      <c r="O43" s="304">
        <v>1694.2</v>
      </c>
      <c r="P43" s="304">
        <v>1694.2</v>
      </c>
      <c r="Q43" s="304">
        <f>SUM(H43:P43)</f>
        <v>11516.5</v>
      </c>
      <c r="R43" s="328" t="s">
        <v>579</v>
      </c>
    </row>
    <row r="44" spans="1:18" ht="24.95" customHeight="1" x14ac:dyDescent="0.25">
      <c r="A44" s="397"/>
      <c r="B44" s="499"/>
      <c r="C44" s="328"/>
      <c r="D44" s="451"/>
      <c r="E44" s="453"/>
      <c r="F44" s="159" t="s">
        <v>578</v>
      </c>
      <c r="G44" s="6">
        <v>850</v>
      </c>
      <c r="H44" s="304"/>
      <c r="I44" s="304"/>
      <c r="J44" s="304">
        <v>0.3</v>
      </c>
      <c r="K44" s="304"/>
      <c r="L44" s="304">
        <v>0.6</v>
      </c>
      <c r="M44" s="304">
        <v>0.6</v>
      </c>
      <c r="N44" s="304">
        <v>0.6</v>
      </c>
      <c r="O44" s="304">
        <v>0.6</v>
      </c>
      <c r="P44" s="304">
        <v>0.6</v>
      </c>
      <c r="Q44" s="304">
        <f t="shared" ref="Q44:Q49" si="2">SUM(H44:P44)</f>
        <v>3.3000000000000003</v>
      </c>
      <c r="R44" s="328"/>
    </row>
    <row r="45" spans="1:18" ht="24.95" customHeight="1" x14ac:dyDescent="0.25">
      <c r="A45" s="397"/>
      <c r="B45" s="499"/>
      <c r="C45" s="328"/>
      <c r="D45" s="451"/>
      <c r="E45" s="453"/>
      <c r="F45" s="159" t="s">
        <v>578</v>
      </c>
      <c r="G45" s="21">
        <v>244</v>
      </c>
      <c r="H45" s="304">
        <v>248</v>
      </c>
      <c r="I45" s="304">
        <v>247.9</v>
      </c>
      <c r="J45" s="304">
        <v>247.6</v>
      </c>
      <c r="K45" s="304">
        <v>247.9</v>
      </c>
      <c r="L45" s="304">
        <v>383.9</v>
      </c>
      <c r="M45" s="304">
        <v>399</v>
      </c>
      <c r="N45" s="304">
        <v>399</v>
      </c>
      <c r="O45" s="304">
        <v>399</v>
      </c>
      <c r="P45" s="304">
        <v>399</v>
      </c>
      <c r="Q45" s="304">
        <f t="shared" si="2"/>
        <v>2971.3</v>
      </c>
      <c r="R45" s="328"/>
    </row>
    <row r="46" spans="1:18" ht="24.95" customHeight="1" x14ac:dyDescent="0.25">
      <c r="A46" s="397" t="s">
        <v>580</v>
      </c>
      <c r="B46" s="499" t="s">
        <v>581</v>
      </c>
      <c r="C46" s="328" t="s">
        <v>582</v>
      </c>
      <c r="D46" s="159" t="s">
        <v>20</v>
      </c>
      <c r="E46" s="159" t="s">
        <v>293</v>
      </c>
      <c r="F46" s="159" t="s">
        <v>583</v>
      </c>
      <c r="G46" s="159" t="s">
        <v>584</v>
      </c>
      <c r="H46" s="304">
        <v>2129.1999999999998</v>
      </c>
      <c r="I46" s="304">
        <v>3247.3</v>
      </c>
      <c r="J46" s="304">
        <v>9009.9</v>
      </c>
      <c r="K46" s="304">
        <v>0</v>
      </c>
      <c r="L46" s="304"/>
      <c r="M46" s="304"/>
      <c r="N46" s="304"/>
      <c r="O46" s="304"/>
      <c r="P46" s="304">
        <f>O46</f>
        <v>0</v>
      </c>
      <c r="Q46" s="304">
        <f t="shared" si="2"/>
        <v>14386.4</v>
      </c>
      <c r="R46" s="328" t="s">
        <v>585</v>
      </c>
    </row>
    <row r="47" spans="1:18" ht="24.95" customHeight="1" x14ac:dyDescent="0.25">
      <c r="A47" s="397"/>
      <c r="B47" s="499"/>
      <c r="C47" s="328"/>
      <c r="D47" s="159" t="s">
        <v>20</v>
      </c>
      <c r="E47" s="159" t="s">
        <v>293</v>
      </c>
      <c r="F47" s="159" t="s">
        <v>586</v>
      </c>
      <c r="G47" s="159" t="s">
        <v>584</v>
      </c>
      <c r="H47" s="304">
        <v>5394</v>
      </c>
      <c r="I47" s="304">
        <v>4190.7</v>
      </c>
      <c r="J47" s="304"/>
      <c r="K47" s="304"/>
      <c r="L47" s="304"/>
      <c r="M47" s="304"/>
      <c r="N47" s="304"/>
      <c r="O47" s="304"/>
      <c r="P47" s="304">
        <f>O47</f>
        <v>0</v>
      </c>
      <c r="Q47" s="304">
        <f t="shared" si="2"/>
        <v>9584.7000000000007</v>
      </c>
      <c r="R47" s="328"/>
    </row>
    <row r="48" spans="1:18" ht="40.9" customHeight="1" x14ac:dyDescent="0.25">
      <c r="A48" s="397"/>
      <c r="B48" s="499"/>
      <c r="C48" s="328"/>
      <c r="D48" s="159" t="s">
        <v>20</v>
      </c>
      <c r="E48" s="159" t="s">
        <v>293</v>
      </c>
      <c r="F48" s="159" t="s">
        <v>587</v>
      </c>
      <c r="G48" s="159" t="s">
        <v>584</v>
      </c>
      <c r="H48" s="304"/>
      <c r="I48" s="304"/>
      <c r="J48" s="304">
        <v>473.9</v>
      </c>
      <c r="K48" s="304">
        <f>5610+2805+765</f>
        <v>9180</v>
      </c>
      <c r="L48" s="304">
        <v>10241.9</v>
      </c>
      <c r="M48" s="304">
        <v>9907.9</v>
      </c>
      <c r="N48" s="304">
        <v>0</v>
      </c>
      <c r="O48" s="304">
        <v>6111.9</v>
      </c>
      <c r="P48" s="304">
        <v>3055.9</v>
      </c>
      <c r="Q48" s="304">
        <f t="shared" si="2"/>
        <v>38971.5</v>
      </c>
      <c r="R48" s="328"/>
    </row>
    <row r="49" spans="1:18" ht="35.1" customHeight="1" x14ac:dyDescent="0.3">
      <c r="A49" s="500" t="s">
        <v>438</v>
      </c>
      <c r="B49" s="500"/>
      <c r="C49" s="305"/>
      <c r="D49" s="306"/>
      <c r="E49" s="306"/>
      <c r="F49" s="307"/>
      <c r="G49" s="306"/>
      <c r="H49" s="304">
        <f t="shared" ref="H49:N49" si="3">SUM(H43:H48)</f>
        <v>8588.7000000000007</v>
      </c>
      <c r="I49" s="304">
        <f t="shared" si="3"/>
        <v>8527.5</v>
      </c>
      <c r="J49" s="304">
        <f t="shared" si="3"/>
        <v>10590.4</v>
      </c>
      <c r="K49" s="304">
        <f t="shared" si="3"/>
        <v>10286.6</v>
      </c>
      <c r="L49" s="304">
        <f>SUM(L43:L48)</f>
        <v>12057.099999999999</v>
      </c>
      <c r="M49" s="304">
        <f t="shared" si="3"/>
        <v>11934.199999999999</v>
      </c>
      <c r="N49" s="304">
        <f t="shared" si="3"/>
        <v>2093.8000000000002</v>
      </c>
      <c r="O49" s="304">
        <f>SUM(O43:O48)</f>
        <v>8205.7000000000007</v>
      </c>
      <c r="P49" s="304">
        <f>SUM(P43:P48)</f>
        <v>5149.7000000000007</v>
      </c>
      <c r="Q49" s="304">
        <f t="shared" si="2"/>
        <v>77433.7</v>
      </c>
      <c r="R49" s="308"/>
    </row>
    <row r="50" spans="1:18" s="98" customFormat="1" ht="35.1" customHeight="1" x14ac:dyDescent="0.2">
      <c r="A50" s="497" t="s">
        <v>320</v>
      </c>
      <c r="B50" s="497"/>
      <c r="C50" s="305"/>
      <c r="D50" s="306"/>
      <c r="E50" s="305"/>
      <c r="F50" s="305"/>
      <c r="G50" s="305"/>
      <c r="H50" s="304">
        <f t="shared" ref="H50:N50" si="4">H41+H49</f>
        <v>28125.399999999998</v>
      </c>
      <c r="I50" s="304">
        <f t="shared" si="4"/>
        <v>29557.000000000004</v>
      </c>
      <c r="J50" s="304">
        <f t="shared" si="4"/>
        <v>32395.199999999997</v>
      </c>
      <c r="K50" s="304">
        <f t="shared" si="4"/>
        <v>33799.999999999993</v>
      </c>
      <c r="L50" s="304">
        <f t="shared" si="4"/>
        <v>36181.31</v>
      </c>
      <c r="M50" s="304">
        <f t="shared" si="4"/>
        <v>44408.899999999994</v>
      </c>
      <c r="N50" s="304">
        <f t="shared" si="4"/>
        <v>40108.9</v>
      </c>
      <c r="O50" s="304">
        <f>O41+O49</f>
        <v>45584.3</v>
      </c>
      <c r="P50" s="304">
        <f>P41+P49</f>
        <v>42528.3</v>
      </c>
      <c r="Q50" s="304">
        <f>SUM(H50:P50)</f>
        <v>332689.31</v>
      </c>
      <c r="R50" s="309"/>
    </row>
    <row r="51" spans="1:18" s="98" customFormat="1" ht="35.1" customHeight="1" x14ac:dyDescent="0.2">
      <c r="A51" s="497" t="s">
        <v>321</v>
      </c>
      <c r="B51" s="497"/>
      <c r="C51" s="305"/>
      <c r="D51" s="306"/>
      <c r="E51" s="305"/>
      <c r="F51" s="305"/>
      <c r="G51" s="305"/>
      <c r="H51" s="304">
        <f>H49</f>
        <v>8588.7000000000007</v>
      </c>
      <c r="I51" s="304">
        <f>I49</f>
        <v>8527.5</v>
      </c>
      <c r="J51" s="304">
        <f>J49</f>
        <v>10590.4</v>
      </c>
      <c r="K51" s="304">
        <f>K49</f>
        <v>10286.6</v>
      </c>
      <c r="L51" s="304">
        <f>L49+L31+L13+L12+L15+L11</f>
        <v>12950.499999999998</v>
      </c>
      <c r="M51" s="304">
        <f>M10+M12+M13+M18+M19+M26+M27+M34+M35+M36+M49</f>
        <v>12440.3</v>
      </c>
      <c r="N51" s="304">
        <f>N10+N12+N13+N18+N19+N26+N27+N34+N35+N36+N49</f>
        <v>2407.3000000000002</v>
      </c>
      <c r="O51" s="304">
        <f>O10+O12+O13+O18+O19+O26+O27+O34+O35+O36+O49</f>
        <v>8205.7000000000007</v>
      </c>
      <c r="P51" s="304">
        <f>P10+P12+P13+P18+P19+P26+P27+P34+P35+P36+P49</f>
        <v>5149.7000000000007</v>
      </c>
      <c r="Q51" s="304">
        <f>SUM(H51:P51)</f>
        <v>79146.7</v>
      </c>
      <c r="R51" s="309"/>
    </row>
    <row r="52" spans="1:18" s="98" customFormat="1" ht="35.1" customHeight="1" x14ac:dyDescent="0.2">
      <c r="A52" s="497" t="s">
        <v>322</v>
      </c>
      <c r="B52" s="497"/>
      <c r="C52" s="305"/>
      <c r="D52" s="306"/>
      <c r="E52" s="305"/>
      <c r="F52" s="305"/>
      <c r="G52" s="305"/>
      <c r="H52" s="304">
        <f>H41</f>
        <v>19536.699999999997</v>
      </c>
      <c r="I52" s="304">
        <f>I41</f>
        <v>21029.500000000004</v>
      </c>
      <c r="J52" s="304">
        <f>J41</f>
        <v>21804.799999999996</v>
      </c>
      <c r="K52" s="304">
        <f>K41</f>
        <v>23513.399999999994</v>
      </c>
      <c r="L52" s="304">
        <f>L7+L8+L14+L16+L17+L20+L21+L22+L23+L24+L28+L29+L9</f>
        <v>23230.81</v>
      </c>
      <c r="M52" s="304">
        <f>M50-M51</f>
        <v>31968.599999999995</v>
      </c>
      <c r="N52" s="304">
        <f>N50-N51</f>
        <v>37701.599999999999</v>
      </c>
      <c r="O52" s="304">
        <f>O50-O51</f>
        <v>37378.600000000006</v>
      </c>
      <c r="P52" s="304">
        <f>P50-P51</f>
        <v>37378.600000000006</v>
      </c>
      <c r="Q52" s="304">
        <f>Q50-Q51</f>
        <v>253542.61</v>
      </c>
      <c r="R52" s="309"/>
    </row>
    <row r="53" spans="1:18" s="197" customFormat="1" ht="56.25" customHeight="1" x14ac:dyDescent="0.3">
      <c r="A53" s="498" t="s">
        <v>33</v>
      </c>
      <c r="B53" s="498"/>
      <c r="C53" s="498"/>
      <c r="D53" s="310"/>
      <c r="E53" s="310"/>
      <c r="F53" s="310"/>
      <c r="G53" s="310"/>
      <c r="H53" s="310"/>
      <c r="I53" s="311"/>
      <c r="J53" s="312"/>
      <c r="K53" s="313"/>
      <c r="L53" s="314"/>
      <c r="M53" s="314"/>
      <c r="N53" s="312"/>
      <c r="O53" s="312"/>
      <c r="P53" s="312"/>
      <c r="Q53" s="312"/>
      <c r="R53" s="315" t="s">
        <v>34</v>
      </c>
    </row>
    <row r="54" spans="1:18" x14ac:dyDescent="0.25">
      <c r="A54" s="185"/>
      <c r="B54" s="186"/>
      <c r="C54" s="187"/>
      <c r="D54" s="187"/>
      <c r="E54" s="187"/>
      <c r="F54" s="187"/>
      <c r="G54" s="187"/>
      <c r="H54" s="187"/>
      <c r="L54" s="35"/>
    </row>
    <row r="55" spans="1:18" x14ac:dyDescent="0.25">
      <c r="A55" s="185"/>
      <c r="B55" s="186"/>
      <c r="C55" s="187"/>
      <c r="D55" s="187"/>
      <c r="E55" s="187"/>
      <c r="F55" s="187"/>
      <c r="G55" s="187"/>
      <c r="H55" s="187"/>
    </row>
    <row r="56" spans="1:18" x14ac:dyDescent="0.25">
      <c r="A56" s="185"/>
      <c r="B56" s="186"/>
      <c r="C56" s="187"/>
      <c r="D56" s="187"/>
      <c r="E56" s="187"/>
      <c r="F56" s="187"/>
      <c r="G56" s="187"/>
      <c r="H56" s="187"/>
      <c r="I56" s="33"/>
    </row>
    <row r="57" spans="1:18" x14ac:dyDescent="0.25">
      <c r="A57" s="185"/>
      <c r="B57" s="186"/>
      <c r="C57" s="187"/>
      <c r="D57" s="187"/>
      <c r="E57" s="187"/>
      <c r="F57" s="187"/>
      <c r="G57" s="187"/>
      <c r="H57" s="187"/>
    </row>
    <row r="58" spans="1:18" x14ac:dyDescent="0.25">
      <c r="A58" s="185"/>
      <c r="B58" s="186"/>
      <c r="C58" s="187"/>
      <c r="D58" s="187"/>
      <c r="E58" s="187"/>
      <c r="F58" s="187"/>
      <c r="G58" s="187"/>
      <c r="H58" s="187"/>
    </row>
    <row r="59" spans="1:18" x14ac:dyDescent="0.25">
      <c r="A59" s="185"/>
      <c r="B59" s="186"/>
      <c r="C59" s="187"/>
      <c r="D59" s="187"/>
      <c r="E59" s="187"/>
      <c r="F59" s="187"/>
      <c r="G59" s="187"/>
      <c r="H59" s="187"/>
    </row>
    <row r="60" spans="1:18" x14ac:dyDescent="0.25">
      <c r="A60" s="185"/>
      <c r="B60" s="186"/>
      <c r="C60" s="187"/>
      <c r="D60" s="187"/>
      <c r="E60" s="187"/>
      <c r="F60" s="187"/>
      <c r="G60" s="187"/>
      <c r="H60" s="187"/>
    </row>
    <row r="61" spans="1:18" x14ac:dyDescent="0.25">
      <c r="A61" s="185"/>
      <c r="B61" s="186"/>
      <c r="C61" s="187"/>
      <c r="D61" s="187"/>
      <c r="E61" s="187"/>
      <c r="F61" s="187"/>
      <c r="G61" s="187"/>
      <c r="H61" s="187"/>
    </row>
    <row r="62" spans="1:18" x14ac:dyDescent="0.25">
      <c r="A62" s="185"/>
      <c r="B62" s="186"/>
      <c r="C62" s="187"/>
      <c r="D62" s="187"/>
      <c r="E62" s="187"/>
      <c r="F62" s="187"/>
      <c r="G62" s="187"/>
      <c r="H62" s="187"/>
    </row>
    <row r="63" spans="1:18" x14ac:dyDescent="0.25">
      <c r="A63" s="185"/>
      <c r="B63" s="186"/>
      <c r="C63" s="187"/>
      <c r="D63" s="187"/>
      <c r="E63" s="187"/>
      <c r="F63" s="187"/>
      <c r="G63" s="187"/>
      <c r="H63" s="187"/>
    </row>
    <row r="64" spans="1:18" x14ac:dyDescent="0.25">
      <c r="A64" s="185"/>
      <c r="B64" s="186"/>
      <c r="C64" s="187"/>
      <c r="D64" s="187"/>
      <c r="E64" s="187"/>
      <c r="F64" s="187"/>
      <c r="G64" s="187"/>
      <c r="H64" s="187"/>
    </row>
    <row r="65" spans="1:8" x14ac:dyDescent="0.25">
      <c r="A65" s="185"/>
      <c r="B65" s="186"/>
      <c r="C65" s="187"/>
      <c r="D65" s="187"/>
      <c r="E65" s="187"/>
      <c r="F65" s="187"/>
      <c r="G65" s="187"/>
      <c r="H65" s="187"/>
    </row>
    <row r="66" spans="1:8" x14ac:dyDescent="0.25">
      <c r="A66" s="185"/>
      <c r="B66" s="186"/>
      <c r="C66" s="187"/>
      <c r="D66" s="187"/>
      <c r="E66" s="187"/>
      <c r="F66" s="187"/>
      <c r="G66" s="187"/>
      <c r="H66" s="187"/>
    </row>
    <row r="67" spans="1:8" x14ac:dyDescent="0.25">
      <c r="A67" s="185"/>
      <c r="B67" s="186"/>
      <c r="C67" s="187"/>
      <c r="D67" s="187"/>
      <c r="E67" s="187"/>
      <c r="F67" s="187"/>
      <c r="G67" s="187"/>
      <c r="H67" s="187"/>
    </row>
    <row r="68" spans="1:8" x14ac:dyDescent="0.25">
      <c r="A68" s="185"/>
      <c r="B68" s="186"/>
      <c r="C68" s="187"/>
      <c r="D68" s="187"/>
      <c r="E68" s="187"/>
      <c r="F68" s="187"/>
      <c r="G68" s="187"/>
      <c r="H68" s="187"/>
    </row>
    <row r="69" spans="1:8" x14ac:dyDescent="0.25">
      <c r="A69" s="185"/>
      <c r="B69" s="186"/>
      <c r="C69" s="187"/>
      <c r="D69" s="187"/>
      <c r="E69" s="187"/>
      <c r="F69" s="187"/>
      <c r="G69" s="187"/>
      <c r="H69" s="187"/>
    </row>
    <row r="70" spans="1:8" x14ac:dyDescent="0.25">
      <c r="A70" s="185"/>
      <c r="B70" s="186"/>
      <c r="C70" s="187"/>
      <c r="D70" s="187"/>
      <c r="E70" s="187"/>
      <c r="F70" s="187"/>
      <c r="G70" s="187"/>
      <c r="H70" s="187"/>
    </row>
    <row r="71" spans="1:8" x14ac:dyDescent="0.25">
      <c r="A71" s="185"/>
      <c r="B71" s="186"/>
      <c r="C71" s="187"/>
      <c r="D71" s="187"/>
      <c r="E71" s="187"/>
      <c r="F71" s="187"/>
      <c r="G71" s="187"/>
      <c r="H71" s="187"/>
    </row>
    <row r="72" spans="1:8" x14ac:dyDescent="0.25">
      <c r="A72" s="185"/>
      <c r="B72" s="186"/>
      <c r="C72" s="187"/>
      <c r="D72" s="187"/>
      <c r="E72" s="187"/>
      <c r="F72" s="187"/>
      <c r="G72" s="187"/>
      <c r="H72" s="187"/>
    </row>
    <row r="73" spans="1:8" x14ac:dyDescent="0.25">
      <c r="A73" s="185"/>
      <c r="B73" s="186"/>
      <c r="C73" s="187"/>
      <c r="D73" s="187"/>
      <c r="E73" s="187"/>
      <c r="F73" s="187"/>
      <c r="G73" s="187"/>
      <c r="H73" s="187"/>
    </row>
    <row r="74" spans="1:8" x14ac:dyDescent="0.25">
      <c r="A74" s="185"/>
      <c r="B74" s="186"/>
      <c r="C74" s="187"/>
      <c r="D74" s="187"/>
      <c r="E74" s="187"/>
      <c r="F74" s="187"/>
      <c r="G74" s="187"/>
      <c r="H74" s="187"/>
    </row>
    <row r="75" spans="1:8" x14ac:dyDescent="0.25">
      <c r="A75" s="185"/>
      <c r="B75" s="186"/>
      <c r="C75" s="187"/>
      <c r="D75" s="187"/>
      <c r="E75" s="187"/>
      <c r="F75" s="187"/>
      <c r="G75" s="187"/>
      <c r="H75" s="187"/>
    </row>
    <row r="76" spans="1:8" x14ac:dyDescent="0.25">
      <c r="A76" s="185"/>
      <c r="B76" s="186"/>
      <c r="C76" s="187"/>
      <c r="D76" s="187"/>
      <c r="E76" s="187"/>
      <c r="F76" s="187"/>
      <c r="G76" s="187"/>
      <c r="H76" s="187"/>
    </row>
    <row r="77" spans="1:8" x14ac:dyDescent="0.25">
      <c r="A77" s="185"/>
      <c r="B77" s="186"/>
      <c r="C77" s="187"/>
      <c r="D77" s="187"/>
      <c r="E77" s="187"/>
      <c r="F77" s="187"/>
      <c r="G77" s="187"/>
      <c r="H77" s="187"/>
    </row>
    <row r="78" spans="1:8" x14ac:dyDescent="0.25">
      <c r="A78" s="185"/>
      <c r="B78" s="186"/>
      <c r="C78" s="187"/>
      <c r="D78" s="187"/>
      <c r="E78" s="187"/>
      <c r="F78" s="187"/>
      <c r="G78" s="187"/>
      <c r="H78" s="187"/>
    </row>
    <row r="79" spans="1:8" x14ac:dyDescent="0.25">
      <c r="A79" s="185"/>
      <c r="B79" s="186"/>
      <c r="C79" s="187"/>
      <c r="D79" s="187"/>
      <c r="E79" s="187"/>
      <c r="F79" s="187"/>
      <c r="G79" s="187"/>
      <c r="H79" s="187"/>
    </row>
    <row r="80" spans="1:8" x14ac:dyDescent="0.25">
      <c r="A80" s="185"/>
      <c r="B80" s="186"/>
      <c r="C80" s="187"/>
      <c r="D80" s="187"/>
      <c r="E80" s="187"/>
      <c r="F80" s="187"/>
      <c r="G80" s="187"/>
      <c r="H80" s="187"/>
    </row>
    <row r="81" spans="1:8" x14ac:dyDescent="0.25">
      <c r="A81" s="185"/>
      <c r="B81" s="186"/>
      <c r="C81" s="187"/>
      <c r="D81" s="187"/>
      <c r="E81" s="187"/>
      <c r="F81" s="187"/>
      <c r="G81" s="187"/>
      <c r="H81" s="187"/>
    </row>
    <row r="82" spans="1:8" x14ac:dyDescent="0.25">
      <c r="A82" s="185"/>
      <c r="B82" s="186"/>
      <c r="C82" s="187"/>
      <c r="D82" s="187"/>
      <c r="E82" s="187"/>
      <c r="F82" s="187"/>
      <c r="G82" s="187"/>
      <c r="H82" s="187"/>
    </row>
    <row r="83" spans="1:8" x14ac:dyDescent="0.25">
      <c r="A83" s="185"/>
      <c r="B83" s="186"/>
      <c r="C83" s="187"/>
      <c r="D83" s="187"/>
      <c r="E83" s="187"/>
      <c r="F83" s="187"/>
      <c r="G83" s="187"/>
      <c r="H83" s="187"/>
    </row>
    <row r="84" spans="1:8" x14ac:dyDescent="0.25">
      <c r="A84" s="185"/>
      <c r="B84" s="186"/>
      <c r="C84" s="187"/>
      <c r="D84" s="187"/>
      <c r="E84" s="187"/>
      <c r="F84" s="187"/>
      <c r="G84" s="187"/>
      <c r="H84" s="187"/>
    </row>
    <row r="85" spans="1:8" x14ac:dyDescent="0.25">
      <c r="A85" s="185"/>
      <c r="B85" s="186"/>
      <c r="C85" s="187"/>
      <c r="D85" s="187"/>
      <c r="E85" s="187"/>
      <c r="F85" s="187"/>
      <c r="G85" s="187"/>
      <c r="H85" s="187"/>
    </row>
    <row r="86" spans="1:8" x14ac:dyDescent="0.25">
      <c r="A86" s="185"/>
      <c r="B86" s="186"/>
      <c r="C86" s="187"/>
      <c r="D86" s="187"/>
      <c r="E86" s="187"/>
      <c r="F86" s="187"/>
      <c r="G86" s="187"/>
      <c r="H86" s="187"/>
    </row>
    <row r="87" spans="1:8" x14ac:dyDescent="0.25">
      <c r="A87" s="185"/>
      <c r="B87" s="186"/>
      <c r="C87" s="187"/>
      <c r="D87" s="187"/>
      <c r="E87" s="187"/>
      <c r="F87" s="187"/>
      <c r="G87" s="187"/>
      <c r="H87" s="187"/>
    </row>
    <row r="88" spans="1:8" x14ac:dyDescent="0.25">
      <c r="A88" s="185"/>
      <c r="B88" s="186"/>
      <c r="C88" s="187"/>
      <c r="D88" s="187"/>
      <c r="E88" s="187"/>
      <c r="F88" s="187"/>
      <c r="G88" s="187"/>
      <c r="H88" s="187"/>
    </row>
    <row r="89" spans="1:8" x14ac:dyDescent="0.25">
      <c r="A89" s="185"/>
      <c r="B89" s="186"/>
      <c r="C89" s="187"/>
      <c r="D89" s="187"/>
      <c r="E89" s="187"/>
      <c r="F89" s="187"/>
      <c r="G89" s="187"/>
      <c r="H89" s="187"/>
    </row>
    <row r="90" spans="1:8" x14ac:dyDescent="0.25">
      <c r="A90" s="185"/>
      <c r="B90" s="186"/>
      <c r="C90" s="187"/>
      <c r="D90" s="187"/>
      <c r="E90" s="187"/>
      <c r="F90" s="187"/>
      <c r="G90" s="187"/>
      <c r="H90" s="187"/>
    </row>
  </sheetData>
  <mergeCells count="43">
    <mergeCell ref="I1:J1"/>
    <mergeCell ref="Q1:R1"/>
    <mergeCell ref="A2:R2"/>
    <mergeCell ref="A3:A4"/>
    <mergeCell ref="B3:B4"/>
    <mergeCell ref="C3:C4"/>
    <mergeCell ref="D3:G3"/>
    <mergeCell ref="H3:Q3"/>
    <mergeCell ref="R3:R4"/>
    <mergeCell ref="A5:R5"/>
    <mergeCell ref="A6:R6"/>
    <mergeCell ref="A7:A13"/>
    <mergeCell ref="B7:B13"/>
    <mergeCell ref="C7:C13"/>
    <mergeCell ref="R7:R8"/>
    <mergeCell ref="A15:A21"/>
    <mergeCell ref="B15:B21"/>
    <mergeCell ref="C15:C21"/>
    <mergeCell ref="R15:R21"/>
    <mergeCell ref="A22:A32"/>
    <mergeCell ref="B22:B32"/>
    <mergeCell ref="C22:C32"/>
    <mergeCell ref="R22:R41"/>
    <mergeCell ref="A33:A40"/>
    <mergeCell ref="B33:B40"/>
    <mergeCell ref="R46:R48"/>
    <mergeCell ref="A49:B49"/>
    <mergeCell ref="A50:B50"/>
    <mergeCell ref="C33:C40"/>
    <mergeCell ref="A41:B41"/>
    <mergeCell ref="A42:R42"/>
    <mergeCell ref="A43:A45"/>
    <mergeCell ref="B43:B45"/>
    <mergeCell ref="C43:C45"/>
    <mergeCell ref="D43:D45"/>
    <mergeCell ref="E43:E45"/>
    <mergeCell ref="R43:R45"/>
    <mergeCell ref="A51:B51"/>
    <mergeCell ref="A52:B52"/>
    <mergeCell ref="A53:C53"/>
    <mergeCell ref="A46:A48"/>
    <mergeCell ref="B46:B48"/>
    <mergeCell ref="C46:C48"/>
  </mergeCells>
  <pageMargins left="0.31496062992125984" right="0.31496062992125984" top="0.15748031496062992" bottom="0.15748031496062992" header="0" footer="0"/>
  <pageSetup paperSize="9" scale="3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7"/>
  <sheetViews>
    <sheetView view="pageBreakPreview" topLeftCell="D1" zoomScaleNormal="100" zoomScaleSheetLayoutView="100" workbookViewId="0">
      <selection activeCell="J15" sqref="J15"/>
    </sheetView>
  </sheetViews>
  <sheetFormatPr defaultColWidth="9.28515625" defaultRowHeight="15" x14ac:dyDescent="0.2"/>
  <cols>
    <col min="1" max="1" width="18.42578125" style="37" customWidth="1"/>
    <col min="2" max="2" width="24.85546875" style="37" customWidth="1"/>
    <col min="3" max="3" width="30.140625" style="37" customWidth="1"/>
    <col min="4" max="4" width="13.42578125" style="37" customWidth="1"/>
    <col min="5" max="13" width="16" style="37" customWidth="1"/>
    <col min="14" max="16384" width="9.28515625" style="37"/>
  </cols>
  <sheetData>
    <row r="1" spans="1:13" ht="72" customHeight="1" x14ac:dyDescent="0.25">
      <c r="C1" s="34"/>
      <c r="D1" s="34"/>
      <c r="F1" s="38"/>
      <c r="G1" s="38"/>
      <c r="H1" s="38"/>
      <c r="I1" s="337" t="s">
        <v>35</v>
      </c>
      <c r="J1" s="337"/>
      <c r="K1" s="337"/>
      <c r="L1" s="337"/>
      <c r="M1" s="337"/>
    </row>
    <row r="2" spans="1:13" ht="55.5" customHeight="1" x14ac:dyDescent="0.2">
      <c r="A2" s="338" t="s">
        <v>36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338"/>
    </row>
    <row r="3" spans="1:13" ht="33.75" customHeight="1" x14ac:dyDescent="0.2">
      <c r="A3" s="321" t="s">
        <v>37</v>
      </c>
      <c r="B3" s="328" t="s">
        <v>38</v>
      </c>
      <c r="C3" s="339" t="s">
        <v>39</v>
      </c>
      <c r="D3" s="341" t="s">
        <v>40</v>
      </c>
      <c r="E3" s="341"/>
      <c r="F3" s="341"/>
      <c r="G3" s="341"/>
      <c r="H3" s="341"/>
      <c r="I3" s="341"/>
      <c r="J3" s="341"/>
      <c r="K3" s="341"/>
      <c r="L3" s="341"/>
      <c r="M3" s="341"/>
    </row>
    <row r="4" spans="1:13" ht="36" customHeight="1" x14ac:dyDescent="0.2">
      <c r="A4" s="321"/>
      <c r="B4" s="328"/>
      <c r="C4" s="340"/>
      <c r="D4" s="39" t="s">
        <v>41</v>
      </c>
      <c r="E4" s="39" t="s">
        <v>42</v>
      </c>
      <c r="F4" s="39" t="s">
        <v>43</v>
      </c>
      <c r="G4" s="40" t="s">
        <v>44</v>
      </c>
      <c r="H4" s="39" t="s">
        <v>45</v>
      </c>
      <c r="I4" s="41" t="s">
        <v>46</v>
      </c>
      <c r="J4" s="41" t="s">
        <v>47</v>
      </c>
      <c r="K4" s="41" t="s">
        <v>48</v>
      </c>
      <c r="L4" s="41" t="s">
        <v>49</v>
      </c>
      <c r="M4" s="41" t="s">
        <v>11</v>
      </c>
    </row>
    <row r="5" spans="1:13" ht="15.75" customHeight="1" x14ac:dyDescent="0.2">
      <c r="A5" s="316" t="s">
        <v>12</v>
      </c>
      <c r="B5" s="318" t="s">
        <v>13</v>
      </c>
      <c r="C5" s="42" t="s">
        <v>50</v>
      </c>
      <c r="D5" s="43">
        <f t="shared" ref="D5:I5" si="0">D8+D9+D10</f>
        <v>447829.60000000003</v>
      </c>
      <c r="E5" s="43">
        <f t="shared" si="0"/>
        <v>473625.59999999998</v>
      </c>
      <c r="F5" s="43">
        <f t="shared" si="0"/>
        <v>511729.69999999995</v>
      </c>
      <c r="G5" s="44">
        <f t="shared" si="0"/>
        <v>523228.00000000006</v>
      </c>
      <c r="H5" s="44">
        <f>H8+H9+H10</f>
        <v>549349</v>
      </c>
      <c r="I5" s="44">
        <f t="shared" si="0"/>
        <v>614389.6</v>
      </c>
      <c r="J5" s="44">
        <f>J8+J9+J10+J7</f>
        <v>592264.6</v>
      </c>
      <c r="K5" s="44">
        <f>K8+K9+K10+K7</f>
        <v>583662</v>
      </c>
      <c r="L5" s="44">
        <f>L8+L9+L10+L7</f>
        <v>578852.89999999991</v>
      </c>
      <c r="M5" s="44">
        <f>M8+M9+M10+M7</f>
        <v>4874931</v>
      </c>
    </row>
    <row r="6" spans="1:13" ht="15.75" x14ac:dyDescent="0.2">
      <c r="A6" s="317"/>
      <c r="B6" s="319"/>
      <c r="C6" s="45" t="s">
        <v>51</v>
      </c>
      <c r="D6" s="46"/>
      <c r="E6" s="47"/>
      <c r="F6" s="47"/>
      <c r="G6" s="48"/>
      <c r="H6" s="48"/>
      <c r="I6" s="48"/>
      <c r="J6" s="48"/>
      <c r="K6" s="48"/>
      <c r="L6" s="44"/>
      <c r="M6" s="44"/>
    </row>
    <row r="7" spans="1:13" ht="15.75" x14ac:dyDescent="0.2">
      <c r="A7" s="317"/>
      <c r="B7" s="319"/>
      <c r="C7" s="49" t="s">
        <v>52</v>
      </c>
      <c r="D7" s="46"/>
      <c r="E7" s="47"/>
      <c r="F7" s="47"/>
      <c r="G7" s="48"/>
      <c r="H7" s="48"/>
      <c r="I7" s="48"/>
      <c r="J7" s="48">
        <f>J18</f>
        <v>2668.9</v>
      </c>
      <c r="K7" s="48">
        <f>K18</f>
        <v>4596.8999999999996</v>
      </c>
      <c r="L7" s="48">
        <f>L18</f>
        <v>2768.6</v>
      </c>
      <c r="M7" s="48">
        <f>M18</f>
        <v>10034.4</v>
      </c>
    </row>
    <row r="8" spans="1:13" ht="15.75" customHeight="1" x14ac:dyDescent="0.2">
      <c r="A8" s="317"/>
      <c r="B8" s="319"/>
      <c r="C8" s="49" t="s">
        <v>53</v>
      </c>
      <c r="D8" s="43">
        <f t="shared" ref="D8:L10" si="1">D13+D19+D24+D29</f>
        <v>215148.1</v>
      </c>
      <c r="E8" s="43">
        <f t="shared" si="1"/>
        <v>208367.5</v>
      </c>
      <c r="F8" s="43">
        <f t="shared" si="1"/>
        <v>280623.8</v>
      </c>
      <c r="G8" s="44">
        <f t="shared" si="1"/>
        <v>301525.8</v>
      </c>
      <c r="H8" s="44">
        <f t="shared" si="1"/>
        <v>326259.80000000005</v>
      </c>
      <c r="I8" s="44">
        <f t="shared" si="1"/>
        <v>354583.9</v>
      </c>
      <c r="J8" s="44">
        <f t="shared" si="1"/>
        <v>358068.4</v>
      </c>
      <c r="K8" s="44">
        <f t="shared" si="1"/>
        <v>351810.9</v>
      </c>
      <c r="L8" s="44">
        <f t="shared" si="1"/>
        <v>348843.9</v>
      </c>
      <c r="M8" s="44">
        <f t="shared" ref="M8:M31" si="2">SUM(D8:L8)</f>
        <v>2745232.0999999996</v>
      </c>
    </row>
    <row r="9" spans="1:13" ht="15.75" x14ac:dyDescent="0.2">
      <c r="A9" s="317"/>
      <c r="B9" s="319"/>
      <c r="C9" s="49" t="s">
        <v>54</v>
      </c>
      <c r="D9" s="43">
        <f t="shared" si="1"/>
        <v>217161.60000000001</v>
      </c>
      <c r="E9" s="43">
        <f t="shared" si="1"/>
        <v>249957.8</v>
      </c>
      <c r="F9" s="43">
        <f t="shared" si="1"/>
        <v>211534.09999999998</v>
      </c>
      <c r="G9" s="44">
        <f t="shared" si="1"/>
        <v>199302.50000000003</v>
      </c>
      <c r="H9" s="44">
        <f t="shared" si="1"/>
        <v>198036.09999999998</v>
      </c>
      <c r="I9" s="44">
        <f t="shared" si="1"/>
        <v>232969.00000000003</v>
      </c>
      <c r="J9" s="44">
        <f t="shared" si="1"/>
        <v>202266.1</v>
      </c>
      <c r="K9" s="44">
        <f t="shared" si="1"/>
        <v>201415</v>
      </c>
      <c r="L9" s="44">
        <f t="shared" si="1"/>
        <v>201401.19999999998</v>
      </c>
      <c r="M9" s="44">
        <f t="shared" si="2"/>
        <v>1914043.4000000001</v>
      </c>
    </row>
    <row r="10" spans="1:13" ht="15" customHeight="1" x14ac:dyDescent="0.2">
      <c r="A10" s="335"/>
      <c r="B10" s="320"/>
      <c r="C10" s="49" t="s">
        <v>55</v>
      </c>
      <c r="D10" s="43">
        <f t="shared" si="1"/>
        <v>15519.9</v>
      </c>
      <c r="E10" s="43">
        <f t="shared" si="1"/>
        <v>15300.3</v>
      </c>
      <c r="F10" s="43">
        <f t="shared" si="1"/>
        <v>19571.8</v>
      </c>
      <c r="G10" s="44">
        <f t="shared" si="1"/>
        <v>22399.7</v>
      </c>
      <c r="H10" s="44">
        <f t="shared" si="1"/>
        <v>25053.100000000002</v>
      </c>
      <c r="I10" s="44">
        <f t="shared" si="1"/>
        <v>26836.7</v>
      </c>
      <c r="J10" s="44">
        <f t="shared" si="1"/>
        <v>29261.200000000001</v>
      </c>
      <c r="K10" s="44">
        <f t="shared" si="1"/>
        <v>25839.200000000001</v>
      </c>
      <c r="L10" s="44">
        <f>K10</f>
        <v>25839.200000000001</v>
      </c>
      <c r="M10" s="44">
        <f t="shared" si="2"/>
        <v>205621.10000000003</v>
      </c>
    </row>
    <row r="11" spans="1:13" ht="15.75" customHeight="1" x14ac:dyDescent="0.2">
      <c r="A11" s="316" t="s">
        <v>56</v>
      </c>
      <c r="B11" s="318" t="s">
        <v>24</v>
      </c>
      <c r="C11" s="42" t="s">
        <v>50</v>
      </c>
      <c r="D11" s="43">
        <f t="shared" ref="D11:J11" si="3">D13+D14+D15</f>
        <v>198091.59999999998</v>
      </c>
      <c r="E11" s="43">
        <f t="shared" si="3"/>
        <v>204824.59999999998</v>
      </c>
      <c r="F11" s="43">
        <f t="shared" si="3"/>
        <v>219030.5</v>
      </c>
      <c r="G11" s="44">
        <f t="shared" si="3"/>
        <v>218633.1</v>
      </c>
      <c r="H11" s="44">
        <f t="shared" si="3"/>
        <v>229336.9</v>
      </c>
      <c r="I11" s="50">
        <f t="shared" si="3"/>
        <v>267495.40000000002</v>
      </c>
      <c r="J11" s="50">
        <f t="shared" si="3"/>
        <v>273496</v>
      </c>
      <c r="K11" s="50">
        <f>K13+K14+K15</f>
        <v>267814.89999999997</v>
      </c>
      <c r="L11" s="50">
        <f>K11</f>
        <v>267814.89999999997</v>
      </c>
      <c r="M11" s="50">
        <f t="shared" si="2"/>
        <v>2146537.9</v>
      </c>
    </row>
    <row r="12" spans="1:13" ht="15.75" x14ac:dyDescent="0.2">
      <c r="A12" s="317"/>
      <c r="B12" s="319"/>
      <c r="C12" s="45" t="s">
        <v>51</v>
      </c>
      <c r="D12" s="46"/>
      <c r="E12" s="43"/>
      <c r="F12" s="47"/>
      <c r="G12" s="48"/>
      <c r="H12" s="48"/>
      <c r="I12" s="48"/>
      <c r="J12" s="48"/>
      <c r="K12" s="48"/>
      <c r="L12" s="44">
        <f>K12</f>
        <v>0</v>
      </c>
      <c r="M12" s="44">
        <f t="shared" si="2"/>
        <v>0</v>
      </c>
    </row>
    <row r="13" spans="1:13" ht="15.75" x14ac:dyDescent="0.2">
      <c r="A13" s="317"/>
      <c r="B13" s="319"/>
      <c r="C13" s="51" t="s">
        <v>57</v>
      </c>
      <c r="D13" s="52">
        <v>92552.9</v>
      </c>
      <c r="E13" s="43">
        <v>81485.8</v>
      </c>
      <c r="F13" s="47">
        <v>116158.7</v>
      </c>
      <c r="G13" s="48">
        <v>122752.3</v>
      </c>
      <c r="H13" s="48">
        <v>129296.8</v>
      </c>
      <c r="I13" s="48">
        <v>147632</v>
      </c>
      <c r="J13" s="48">
        <v>162590.1</v>
      </c>
      <c r="K13" s="48">
        <v>156583.29999999999</v>
      </c>
      <c r="L13" s="48">
        <v>156583.29999999999</v>
      </c>
      <c r="M13" s="44">
        <f t="shared" si="2"/>
        <v>1165635.2</v>
      </c>
    </row>
    <row r="14" spans="1:13" ht="15.75" x14ac:dyDescent="0.2">
      <c r="A14" s="317"/>
      <c r="B14" s="319"/>
      <c r="C14" s="51" t="s">
        <v>58</v>
      </c>
      <c r="D14" s="52">
        <v>92376.4</v>
      </c>
      <c r="E14" s="43">
        <v>110895</v>
      </c>
      <c r="F14" s="43">
        <v>86284.2</v>
      </c>
      <c r="G14" s="44">
        <v>76465.3</v>
      </c>
      <c r="H14" s="44">
        <v>78788.7</v>
      </c>
      <c r="I14" s="44">
        <v>99489.9</v>
      </c>
      <c r="J14" s="44">
        <v>88795.199999999997</v>
      </c>
      <c r="K14" s="44">
        <v>88831.4</v>
      </c>
      <c r="L14" s="44">
        <v>88831.4</v>
      </c>
      <c r="M14" s="44">
        <f t="shared" si="2"/>
        <v>810757.5</v>
      </c>
    </row>
    <row r="15" spans="1:13" ht="31.5" x14ac:dyDescent="0.2">
      <c r="A15" s="335"/>
      <c r="B15" s="320"/>
      <c r="C15" s="51" t="s">
        <v>59</v>
      </c>
      <c r="D15" s="52">
        <v>13162.3</v>
      </c>
      <c r="E15" s="43">
        <v>12443.8</v>
      </c>
      <c r="F15" s="47">
        <v>16587.599999999999</v>
      </c>
      <c r="G15" s="48">
        <v>19415.5</v>
      </c>
      <c r="H15" s="48">
        <v>21251.4</v>
      </c>
      <c r="I15" s="48">
        <v>20373.5</v>
      </c>
      <c r="J15" s="48">
        <v>22110.7</v>
      </c>
      <c r="K15" s="48">
        <v>22400.2</v>
      </c>
      <c r="L15" s="48">
        <v>22400.2</v>
      </c>
      <c r="M15" s="44">
        <f t="shared" si="2"/>
        <v>170145.2</v>
      </c>
    </row>
    <row r="16" spans="1:13" ht="15.75" customHeight="1" x14ac:dyDescent="0.2">
      <c r="A16" s="316" t="s">
        <v>60</v>
      </c>
      <c r="B16" s="318" t="s">
        <v>28</v>
      </c>
      <c r="C16" s="42" t="s">
        <v>50</v>
      </c>
      <c r="D16" s="43">
        <f t="shared" ref="D16:I16" si="4">D19+D20+D21</f>
        <v>214621.9</v>
      </c>
      <c r="E16" s="43">
        <f t="shared" si="4"/>
        <v>231479.09999999998</v>
      </c>
      <c r="F16" s="43">
        <f t="shared" si="4"/>
        <v>252889.59999999998</v>
      </c>
      <c r="G16" s="44">
        <f t="shared" si="4"/>
        <v>262736.60000000003</v>
      </c>
      <c r="H16" s="44">
        <f t="shared" si="4"/>
        <v>275850</v>
      </c>
      <c r="I16" s="50">
        <f t="shared" si="4"/>
        <v>294091.2</v>
      </c>
      <c r="J16" s="53">
        <f>J19+J20+J21+J18</f>
        <v>270153.10000000003</v>
      </c>
      <c r="K16" s="50">
        <f>K19+K20+K21+K18</f>
        <v>261809.4</v>
      </c>
      <c r="L16" s="50">
        <f>L19+L20+L21+L18</f>
        <v>260056.30000000002</v>
      </c>
      <c r="M16" s="50">
        <f>M19+M20+M21+M18</f>
        <v>2323687.1999999997</v>
      </c>
    </row>
    <row r="17" spans="1:14" ht="15.75" x14ac:dyDescent="0.2">
      <c r="A17" s="317"/>
      <c r="B17" s="319"/>
      <c r="C17" s="45" t="s">
        <v>51</v>
      </c>
      <c r="D17" s="46"/>
      <c r="E17" s="47"/>
      <c r="F17" s="47"/>
      <c r="G17" s="48"/>
      <c r="H17" s="48"/>
      <c r="I17" s="48"/>
      <c r="J17" s="48"/>
      <c r="K17" s="48"/>
      <c r="L17" s="44">
        <f>K17</f>
        <v>0</v>
      </c>
      <c r="M17" s="44">
        <f t="shared" si="2"/>
        <v>0</v>
      </c>
    </row>
    <row r="18" spans="1:14" ht="15.75" x14ac:dyDescent="0.2">
      <c r="A18" s="317"/>
      <c r="B18" s="319"/>
      <c r="C18" s="49" t="s">
        <v>52</v>
      </c>
      <c r="D18" s="46"/>
      <c r="E18" s="47"/>
      <c r="F18" s="47"/>
      <c r="G18" s="48"/>
      <c r="H18" s="48"/>
      <c r="I18" s="48"/>
      <c r="J18" s="48">
        <v>2668.9</v>
      </c>
      <c r="K18" s="48">
        <f>928.3+3668.6</f>
        <v>4596.8999999999996</v>
      </c>
      <c r="L18" s="44">
        <f>967+1801.6</f>
        <v>2768.6</v>
      </c>
      <c r="M18" s="44">
        <f>SUM(J18:L18)</f>
        <v>10034.4</v>
      </c>
    </row>
    <row r="19" spans="1:14" ht="15.75" x14ac:dyDescent="0.2">
      <c r="A19" s="317"/>
      <c r="B19" s="319"/>
      <c r="C19" s="42" t="s">
        <v>61</v>
      </c>
      <c r="D19" s="52">
        <v>109406.9</v>
      </c>
      <c r="E19" s="43">
        <v>113565.8</v>
      </c>
      <c r="F19" s="47">
        <v>149314.1</v>
      </c>
      <c r="G19" s="48">
        <v>163921.20000000001</v>
      </c>
      <c r="H19" s="48">
        <v>178896.1</v>
      </c>
      <c r="I19" s="48">
        <v>189252.9</v>
      </c>
      <c r="J19" s="48">
        <v>187143.6</v>
      </c>
      <c r="K19" s="48">
        <f>185691.4-K18</f>
        <v>181094.5</v>
      </c>
      <c r="L19" s="44">
        <f>183952.1-L18</f>
        <v>181183.5</v>
      </c>
      <c r="M19" s="44">
        <f t="shared" si="2"/>
        <v>1453778.6</v>
      </c>
    </row>
    <row r="20" spans="1:14" ht="15.75" x14ac:dyDescent="0.2">
      <c r="A20" s="317"/>
      <c r="B20" s="319"/>
      <c r="C20" s="42" t="s">
        <v>62</v>
      </c>
      <c r="D20" s="52">
        <v>103390.39999999999</v>
      </c>
      <c r="E20" s="43">
        <v>115762</v>
      </c>
      <c r="F20" s="43">
        <v>101282.7</v>
      </c>
      <c r="G20" s="44">
        <v>96522.6</v>
      </c>
      <c r="H20" s="44">
        <v>93843.6</v>
      </c>
      <c r="I20" s="44">
        <v>99156.3</v>
      </c>
      <c r="J20" s="44">
        <v>73190.100000000006</v>
      </c>
      <c r="K20" s="44">
        <v>72679</v>
      </c>
      <c r="L20" s="44">
        <v>72665.2</v>
      </c>
      <c r="M20" s="44">
        <f t="shared" si="2"/>
        <v>828491.89999999991</v>
      </c>
    </row>
    <row r="21" spans="1:14" ht="15.75" x14ac:dyDescent="0.2">
      <c r="A21" s="335"/>
      <c r="B21" s="320"/>
      <c r="C21" s="42" t="s">
        <v>63</v>
      </c>
      <c r="D21" s="52">
        <v>1824.6</v>
      </c>
      <c r="E21" s="43">
        <v>2151.3000000000002</v>
      </c>
      <c r="F21" s="47">
        <v>2292.8000000000002</v>
      </c>
      <c r="G21" s="48">
        <v>2292.8000000000002</v>
      </c>
      <c r="H21" s="48">
        <v>3110.3</v>
      </c>
      <c r="I21" s="48">
        <v>5682</v>
      </c>
      <c r="J21" s="48">
        <v>7150.5</v>
      </c>
      <c r="K21" s="48">
        <v>3439</v>
      </c>
      <c r="L21" s="44">
        <v>3439</v>
      </c>
      <c r="M21" s="44">
        <f t="shared" si="2"/>
        <v>31382.3</v>
      </c>
    </row>
    <row r="22" spans="1:14" ht="15.75" customHeight="1" x14ac:dyDescent="0.2">
      <c r="A22" s="316" t="s">
        <v>29</v>
      </c>
      <c r="B22" s="318" t="s">
        <v>30</v>
      </c>
      <c r="C22" s="42" t="s">
        <v>50</v>
      </c>
      <c r="D22" s="43">
        <f t="shared" ref="D22:I22" si="5">D24+D25+D26</f>
        <v>6990.7000000000007</v>
      </c>
      <c r="E22" s="43">
        <f t="shared" si="5"/>
        <v>7764.9</v>
      </c>
      <c r="F22" s="43">
        <f t="shared" si="5"/>
        <v>7414.4</v>
      </c>
      <c r="G22" s="44">
        <f t="shared" si="5"/>
        <v>8058.2999999999993</v>
      </c>
      <c r="H22" s="44">
        <f>H24+H25+H26</f>
        <v>7980.7999999999993</v>
      </c>
      <c r="I22" s="50">
        <f t="shared" si="5"/>
        <v>8394.1</v>
      </c>
      <c r="J22" s="53">
        <f>J24+J25+J26</f>
        <v>8506.5999999999985</v>
      </c>
      <c r="K22" s="50">
        <f>K24+K25+K26</f>
        <v>8453.4</v>
      </c>
      <c r="L22" s="50">
        <f>K22</f>
        <v>8453.4</v>
      </c>
      <c r="M22" s="50">
        <f t="shared" si="2"/>
        <v>72016.599999999991</v>
      </c>
    </row>
    <row r="23" spans="1:14" ht="15.75" x14ac:dyDescent="0.2">
      <c r="A23" s="317"/>
      <c r="B23" s="319"/>
      <c r="C23" s="45" t="s">
        <v>51</v>
      </c>
      <c r="D23" s="52"/>
      <c r="E23" s="43"/>
      <c r="F23" s="47"/>
      <c r="G23" s="48"/>
      <c r="H23" s="48"/>
      <c r="I23" s="48"/>
      <c r="J23" s="48"/>
      <c r="K23" s="48"/>
      <c r="L23" s="44">
        <f>K23</f>
        <v>0</v>
      </c>
      <c r="M23" s="44">
        <f t="shared" si="2"/>
        <v>0</v>
      </c>
    </row>
    <row r="24" spans="1:14" ht="15.75" x14ac:dyDescent="0.2">
      <c r="A24" s="317"/>
      <c r="B24" s="319"/>
      <c r="C24" s="49" t="s">
        <v>53</v>
      </c>
      <c r="D24" s="52">
        <v>4599.6000000000004</v>
      </c>
      <c r="E24" s="43">
        <v>4788.3999999999996</v>
      </c>
      <c r="F24" s="47">
        <v>4560.6000000000004</v>
      </c>
      <c r="G24" s="48">
        <v>4565.7</v>
      </c>
      <c r="H24" s="48">
        <v>5116.3999999999996</v>
      </c>
      <c r="I24" s="48">
        <v>5258.7</v>
      </c>
      <c r="J24" s="48">
        <v>5927.4</v>
      </c>
      <c r="K24" s="48">
        <v>5927.4</v>
      </c>
      <c r="L24" s="48">
        <v>5927.4</v>
      </c>
      <c r="M24" s="44">
        <f t="shared" si="2"/>
        <v>46671.6</v>
      </c>
    </row>
    <row r="25" spans="1:14" ht="15.75" x14ac:dyDescent="0.2">
      <c r="A25" s="317"/>
      <c r="B25" s="319"/>
      <c r="C25" s="49" t="s">
        <v>54</v>
      </c>
      <c r="D25" s="52">
        <v>1858.1</v>
      </c>
      <c r="E25" s="43">
        <v>2271.3000000000002</v>
      </c>
      <c r="F25" s="43">
        <v>2162.4</v>
      </c>
      <c r="G25" s="44">
        <v>2801.2</v>
      </c>
      <c r="H25" s="44">
        <v>2173</v>
      </c>
      <c r="I25" s="44">
        <v>2354.1999999999998</v>
      </c>
      <c r="J25" s="44">
        <f>1754.6+824.6</f>
        <v>2579.1999999999998</v>
      </c>
      <c r="K25" s="44">
        <f>1701.4+824.6</f>
        <v>2526</v>
      </c>
      <c r="L25" s="44">
        <f>K25</f>
        <v>2526</v>
      </c>
      <c r="M25" s="44">
        <f t="shared" si="2"/>
        <v>21251.4</v>
      </c>
    </row>
    <row r="26" spans="1:14" ht="31.5" x14ac:dyDescent="0.2">
      <c r="A26" s="335"/>
      <c r="B26" s="320"/>
      <c r="C26" s="49" t="s">
        <v>55</v>
      </c>
      <c r="D26" s="52">
        <v>533</v>
      </c>
      <c r="E26" s="43">
        <v>705.2</v>
      </c>
      <c r="F26" s="47">
        <v>691.4</v>
      </c>
      <c r="G26" s="48">
        <v>691.4</v>
      </c>
      <c r="H26" s="48">
        <v>691.4</v>
      </c>
      <c r="I26" s="48">
        <v>781.2</v>
      </c>
      <c r="J26" s="48">
        <v>0</v>
      </c>
      <c r="K26" s="48">
        <v>0</v>
      </c>
      <c r="L26" s="48">
        <v>0</v>
      </c>
      <c r="M26" s="44">
        <f t="shared" si="2"/>
        <v>4093.6000000000004</v>
      </c>
    </row>
    <row r="27" spans="1:14" ht="15.75" customHeight="1" x14ac:dyDescent="0.2">
      <c r="A27" s="316" t="s">
        <v>31</v>
      </c>
      <c r="B27" s="318" t="s">
        <v>32</v>
      </c>
      <c r="C27" s="42" t="s">
        <v>50</v>
      </c>
      <c r="D27" s="43">
        <f t="shared" ref="D27:I27" si="6">D29+D30+D31</f>
        <v>28125.4</v>
      </c>
      <c r="E27" s="43">
        <f t="shared" si="6"/>
        <v>29557</v>
      </c>
      <c r="F27" s="43">
        <f t="shared" si="6"/>
        <v>32395.199999999997</v>
      </c>
      <c r="G27" s="44">
        <f t="shared" si="6"/>
        <v>33800</v>
      </c>
      <c r="H27" s="44">
        <f t="shared" si="6"/>
        <v>36181.300000000003</v>
      </c>
      <c r="I27" s="50">
        <f t="shared" si="6"/>
        <v>44408.899999999994</v>
      </c>
      <c r="J27" s="53">
        <f>J29+J30+J31</f>
        <v>40108.9</v>
      </c>
      <c r="K27" s="50">
        <f>K29+K30+K31</f>
        <v>45584.3</v>
      </c>
      <c r="L27" s="50">
        <f>L28+L29+L30</f>
        <v>42528.299999999996</v>
      </c>
      <c r="M27" s="50">
        <f t="shared" si="2"/>
        <v>332689.3</v>
      </c>
    </row>
    <row r="28" spans="1:14" ht="15.75" x14ac:dyDescent="0.2">
      <c r="A28" s="317"/>
      <c r="B28" s="319"/>
      <c r="C28" s="45" t="s">
        <v>51</v>
      </c>
      <c r="D28" s="52"/>
      <c r="E28" s="43"/>
      <c r="F28" s="47"/>
      <c r="G28" s="48"/>
      <c r="H28" s="48"/>
      <c r="I28" s="48"/>
      <c r="J28" s="48"/>
      <c r="K28" s="48"/>
      <c r="L28" s="44">
        <f>K28</f>
        <v>0</v>
      </c>
      <c r="M28" s="44">
        <f t="shared" si="2"/>
        <v>0</v>
      </c>
    </row>
    <row r="29" spans="1:14" ht="15.75" x14ac:dyDescent="0.2">
      <c r="A29" s="317"/>
      <c r="B29" s="319"/>
      <c r="C29" s="49" t="s">
        <v>53</v>
      </c>
      <c r="D29" s="52">
        <v>8588.7000000000007</v>
      </c>
      <c r="E29" s="43">
        <v>8527.5</v>
      </c>
      <c r="F29" s="47">
        <v>10590.4</v>
      </c>
      <c r="G29" s="48">
        <v>10286.6</v>
      </c>
      <c r="H29" s="48">
        <v>12950.5</v>
      </c>
      <c r="I29" s="48">
        <v>12440.3</v>
      </c>
      <c r="J29" s="48">
        <v>2407.3000000000002</v>
      </c>
      <c r="K29" s="48">
        <v>8205.7000000000007</v>
      </c>
      <c r="L29" s="44">
        <v>5149.7</v>
      </c>
      <c r="M29" s="44">
        <f t="shared" si="2"/>
        <v>79146.7</v>
      </c>
    </row>
    <row r="30" spans="1:14" ht="15.75" x14ac:dyDescent="0.2">
      <c r="A30" s="317"/>
      <c r="B30" s="319"/>
      <c r="C30" s="49" t="s">
        <v>54</v>
      </c>
      <c r="D30" s="52">
        <v>19536.7</v>
      </c>
      <c r="E30" s="43">
        <v>21029.5</v>
      </c>
      <c r="F30" s="43">
        <v>21804.799999999999</v>
      </c>
      <c r="G30" s="44">
        <v>23513.4</v>
      </c>
      <c r="H30" s="44">
        <v>23230.799999999999</v>
      </c>
      <c r="I30" s="44">
        <v>31968.6</v>
      </c>
      <c r="J30" s="44">
        <v>37701.599999999999</v>
      </c>
      <c r="K30" s="44">
        <v>37378.6</v>
      </c>
      <c r="L30" s="44">
        <f>K30</f>
        <v>37378.6</v>
      </c>
      <c r="M30" s="44">
        <f t="shared" si="2"/>
        <v>253542.6</v>
      </c>
    </row>
    <row r="31" spans="1:14" ht="15" customHeight="1" x14ac:dyDescent="0.2">
      <c r="A31" s="335"/>
      <c r="B31" s="320"/>
      <c r="C31" s="49" t="s">
        <v>55</v>
      </c>
      <c r="D31" s="52">
        <v>0</v>
      </c>
      <c r="E31" s="43">
        <v>0</v>
      </c>
      <c r="F31" s="47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4">
        <f>K31</f>
        <v>0</v>
      </c>
      <c r="M31" s="44">
        <f t="shared" si="2"/>
        <v>0</v>
      </c>
    </row>
    <row r="32" spans="1:14" s="34" customFormat="1" ht="30.75" customHeight="1" x14ac:dyDescent="0.25">
      <c r="A32" s="54" t="s">
        <v>33</v>
      </c>
      <c r="B32" s="54"/>
      <c r="C32" s="55"/>
      <c r="D32" s="55"/>
      <c r="E32" s="56"/>
      <c r="F32" s="57"/>
      <c r="G32" s="336" t="s">
        <v>34</v>
      </c>
      <c r="H32" s="336"/>
      <c r="I32" s="336"/>
      <c r="J32" s="336"/>
      <c r="K32" s="336"/>
      <c r="L32" s="336"/>
      <c r="M32" s="336"/>
      <c r="N32" s="58"/>
    </row>
    <row r="137" spans="16:16" ht="105" customHeight="1" x14ac:dyDescent="0.25">
      <c r="P137" s="34"/>
    </row>
  </sheetData>
  <mergeCells count="17">
    <mergeCell ref="I1:M1"/>
    <mergeCell ref="A2:M2"/>
    <mergeCell ref="A3:A4"/>
    <mergeCell ref="B3:B4"/>
    <mergeCell ref="C3:C4"/>
    <mergeCell ref="D3:M3"/>
    <mergeCell ref="A5:A10"/>
    <mergeCell ref="B5:B10"/>
    <mergeCell ref="A11:A15"/>
    <mergeCell ref="B11:B15"/>
    <mergeCell ref="A16:A21"/>
    <mergeCell ref="B16:B21"/>
    <mergeCell ref="A22:A26"/>
    <mergeCell ref="B22:B26"/>
    <mergeCell ref="A27:A31"/>
    <mergeCell ref="B27:B31"/>
    <mergeCell ref="G32:M32"/>
  </mergeCells>
  <printOptions horizontalCentered="1"/>
  <pageMargins left="0.15748031496062992" right="0.15748031496062992" top="0.78740157480314965" bottom="0" header="0.31496062992125984" footer="0.31496062992125984"/>
  <pageSetup paperSize="9" scale="64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topLeftCell="B2" zoomScaleNormal="100" zoomScaleSheetLayoutView="100" workbookViewId="0">
      <selection activeCell="I3" sqref="I3:Q3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34" customWidth="1"/>
    <col min="15" max="15" width="10.7109375" style="57" bestFit="1" customWidth="1"/>
    <col min="16" max="16" width="10.7109375" style="1" customWidth="1"/>
    <col min="17" max="17" width="11" style="1" customWidth="1"/>
    <col min="18" max="16384" width="9.140625" style="1"/>
  </cols>
  <sheetData>
    <row r="1" spans="1:17" ht="71.25" customHeight="1" x14ac:dyDescent="0.25">
      <c r="I1" s="352" t="s">
        <v>64</v>
      </c>
      <c r="J1" s="352"/>
      <c r="K1" s="352"/>
      <c r="L1" s="352"/>
      <c r="M1" s="352"/>
      <c r="N1" s="352"/>
      <c r="O1" s="352"/>
      <c r="P1" s="352"/>
    </row>
    <row r="2" spans="1:17" s="59" customFormat="1" ht="34.5" customHeight="1" x14ac:dyDescent="0.2">
      <c r="A2" s="330" t="s">
        <v>65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</row>
    <row r="3" spans="1:17" ht="35.25" customHeight="1" x14ac:dyDescent="0.25">
      <c r="A3" s="331" t="s">
        <v>66</v>
      </c>
      <c r="B3" s="331" t="s">
        <v>67</v>
      </c>
      <c r="C3" s="331"/>
      <c r="D3" s="331"/>
      <c r="E3" s="331"/>
      <c r="F3" s="331"/>
      <c r="G3" s="331"/>
      <c r="H3" s="331"/>
      <c r="I3" s="353" t="s">
        <v>68</v>
      </c>
      <c r="J3" s="354"/>
      <c r="K3" s="354"/>
      <c r="L3" s="354"/>
      <c r="M3" s="354"/>
      <c r="N3" s="354"/>
      <c r="O3" s="354"/>
      <c r="P3" s="354"/>
      <c r="Q3" s="354"/>
    </row>
    <row r="4" spans="1:17" ht="31.5" x14ac:dyDescent="0.25">
      <c r="A4" s="331"/>
      <c r="B4" s="6" t="s">
        <v>41</v>
      </c>
      <c r="C4" s="5" t="s">
        <v>42</v>
      </c>
      <c r="D4" s="5" t="s">
        <v>43</v>
      </c>
      <c r="E4" s="5" t="s">
        <v>44</v>
      </c>
      <c r="F4" s="5" t="s">
        <v>45</v>
      </c>
      <c r="G4" s="5" t="s">
        <v>46</v>
      </c>
      <c r="H4" s="5" t="s">
        <v>47</v>
      </c>
      <c r="I4" s="6" t="s">
        <v>41</v>
      </c>
      <c r="J4" s="5" t="s">
        <v>42</v>
      </c>
      <c r="K4" s="5" t="s">
        <v>43</v>
      </c>
      <c r="L4" s="5" t="s">
        <v>44</v>
      </c>
      <c r="M4" s="5" t="s">
        <v>45</v>
      </c>
      <c r="N4" s="6" t="s">
        <v>46</v>
      </c>
      <c r="O4" s="60" t="s">
        <v>47</v>
      </c>
      <c r="P4" s="5" t="s">
        <v>48</v>
      </c>
      <c r="Q4" s="60" t="s">
        <v>49</v>
      </c>
    </row>
    <row r="5" spans="1:17" x14ac:dyDescent="0.25">
      <c r="A5" s="349" t="s">
        <v>69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350"/>
      <c r="O5" s="350"/>
      <c r="P5" s="351"/>
    </row>
    <row r="6" spans="1:17" x14ac:dyDescent="0.25">
      <c r="A6" s="11" t="s">
        <v>70</v>
      </c>
      <c r="B6" s="342" t="s">
        <v>71</v>
      </c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4"/>
    </row>
    <row r="7" spans="1:17" x14ac:dyDescent="0.25">
      <c r="A7" s="345" t="s">
        <v>72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7"/>
    </row>
    <row r="8" spans="1:17" ht="31.5" x14ac:dyDescent="0.25">
      <c r="A8" s="20" t="s">
        <v>73</v>
      </c>
      <c r="B8" s="21">
        <v>1264</v>
      </c>
      <c r="C8" s="21">
        <v>1687</v>
      </c>
      <c r="D8" s="21">
        <v>1731</v>
      </c>
      <c r="E8" s="21">
        <v>1673</v>
      </c>
      <c r="F8" s="21">
        <v>1753</v>
      </c>
      <c r="G8" s="21">
        <v>1753</v>
      </c>
      <c r="H8" s="21">
        <v>1741</v>
      </c>
      <c r="I8" s="61">
        <v>110039.9</v>
      </c>
      <c r="J8" s="21">
        <v>115982.1</v>
      </c>
      <c r="K8" s="61">
        <v>189224.3</v>
      </c>
      <c r="L8" s="61">
        <f>165397.3+24524.8</f>
        <v>189922.09999999998</v>
      </c>
      <c r="M8" s="61">
        <v>229336.9</v>
      </c>
      <c r="N8" s="61">
        <v>267495.40000000002</v>
      </c>
      <c r="O8" s="62">
        <v>273496</v>
      </c>
      <c r="P8" s="61">
        <v>267814.90000000002</v>
      </c>
      <c r="Q8" s="61">
        <v>267814.90000000002</v>
      </c>
    </row>
    <row r="9" spans="1:17" x14ac:dyDescent="0.25">
      <c r="A9" s="349" t="s">
        <v>74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1"/>
    </row>
    <row r="10" spans="1:17" x14ac:dyDescent="0.25">
      <c r="A10" s="11" t="s">
        <v>70</v>
      </c>
      <c r="B10" s="342" t="s">
        <v>75</v>
      </c>
      <c r="C10" s="343"/>
      <c r="D10" s="343"/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4"/>
    </row>
    <row r="11" spans="1:17" x14ac:dyDescent="0.25">
      <c r="A11" s="345" t="s">
        <v>76</v>
      </c>
      <c r="B11" s="346"/>
      <c r="C11" s="346"/>
      <c r="D11" s="346"/>
      <c r="E11" s="346"/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7"/>
    </row>
    <row r="12" spans="1:17" ht="31.5" x14ac:dyDescent="0.25">
      <c r="A12" s="20" t="s">
        <v>73</v>
      </c>
      <c r="B12" s="21">
        <v>1265</v>
      </c>
      <c r="C12" s="21">
        <v>1233</v>
      </c>
      <c r="D12" s="21">
        <v>1194</v>
      </c>
      <c r="E12" s="21">
        <v>1267</v>
      </c>
      <c r="F12" s="21">
        <v>1351</v>
      </c>
      <c r="G12" s="21">
        <v>1351</v>
      </c>
      <c r="H12" s="21">
        <v>1409</v>
      </c>
      <c r="I12" s="21">
        <v>58719.245999999999</v>
      </c>
      <c r="J12" s="21">
        <v>61890.1</v>
      </c>
      <c r="K12" s="61">
        <v>56463.8</v>
      </c>
      <c r="L12" s="61">
        <v>108873.3</v>
      </c>
      <c r="M12" s="61">
        <f>70.55*F12</f>
        <v>95313.05</v>
      </c>
      <c r="N12" s="61">
        <f>82.468081*1351</f>
        <v>111414.377431</v>
      </c>
      <c r="O12" s="62">
        <f>72.988522061*H12</f>
        <v>102840.82758394899</v>
      </c>
      <c r="P12" s="61">
        <f>O12</f>
        <v>102840.82758394899</v>
      </c>
      <c r="Q12" s="61">
        <f>P12</f>
        <v>102840.82758394899</v>
      </c>
    </row>
    <row r="13" spans="1:17" x14ac:dyDescent="0.25">
      <c r="A13" s="349" t="s">
        <v>77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1"/>
    </row>
    <row r="14" spans="1:17" x14ac:dyDescent="0.25">
      <c r="A14" s="11" t="s">
        <v>70</v>
      </c>
      <c r="B14" s="342" t="s">
        <v>78</v>
      </c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4"/>
    </row>
    <row r="15" spans="1:17" x14ac:dyDescent="0.25">
      <c r="A15" s="345" t="s">
        <v>76</v>
      </c>
      <c r="B15" s="346"/>
      <c r="C15" s="346"/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  <c r="O15" s="346"/>
      <c r="P15" s="347"/>
    </row>
    <row r="16" spans="1:17" ht="31.5" x14ac:dyDescent="0.25">
      <c r="A16" s="20" t="s">
        <v>73</v>
      </c>
      <c r="B16" s="6">
        <v>1284</v>
      </c>
      <c r="C16" s="6">
        <v>1377</v>
      </c>
      <c r="D16" s="6">
        <v>1433</v>
      </c>
      <c r="E16" s="6">
        <v>1086</v>
      </c>
      <c r="F16" s="6">
        <v>1419</v>
      </c>
      <c r="G16" s="6">
        <v>1419</v>
      </c>
      <c r="H16" s="6">
        <v>1450</v>
      </c>
      <c r="I16" s="61">
        <v>59652</v>
      </c>
      <c r="J16" s="21">
        <v>62873.2</v>
      </c>
      <c r="K16" s="21">
        <v>82739.399999999994</v>
      </c>
      <c r="L16" s="61">
        <v>93320</v>
      </c>
      <c r="M16" s="61">
        <f>70.55*F16</f>
        <v>100110.45</v>
      </c>
      <c r="N16" s="61">
        <f>82.468081*1419</f>
        <v>117022.206939</v>
      </c>
      <c r="O16" s="23">
        <f>72.988522061*H16</f>
        <v>105833.35698845</v>
      </c>
      <c r="P16" s="21">
        <f>O16</f>
        <v>105833.35698845</v>
      </c>
      <c r="Q16" s="21">
        <f>P16</f>
        <v>105833.35698845</v>
      </c>
    </row>
    <row r="17" spans="1:17" x14ac:dyDescent="0.25">
      <c r="A17" s="349" t="s">
        <v>79</v>
      </c>
      <c r="B17" s="350"/>
      <c r="C17" s="350"/>
      <c r="D17" s="350"/>
      <c r="E17" s="350"/>
      <c r="F17" s="350"/>
      <c r="G17" s="350"/>
      <c r="H17" s="350"/>
      <c r="I17" s="350"/>
      <c r="J17" s="350"/>
      <c r="K17" s="350"/>
      <c r="L17" s="350"/>
      <c r="M17" s="350"/>
      <c r="N17" s="350"/>
      <c r="O17" s="350"/>
      <c r="P17" s="351"/>
    </row>
    <row r="18" spans="1:17" x14ac:dyDescent="0.25">
      <c r="A18" s="11" t="s">
        <v>70</v>
      </c>
      <c r="B18" s="342" t="s">
        <v>80</v>
      </c>
      <c r="C18" s="343"/>
      <c r="D18" s="343"/>
      <c r="E18" s="343"/>
      <c r="F18" s="343"/>
      <c r="G18" s="343"/>
      <c r="H18" s="343"/>
      <c r="I18" s="343"/>
      <c r="J18" s="343"/>
      <c r="K18" s="343"/>
      <c r="L18" s="343"/>
      <c r="M18" s="343"/>
      <c r="N18" s="343"/>
      <c r="O18" s="343"/>
      <c r="P18" s="344"/>
      <c r="Q18" s="63"/>
    </row>
    <row r="19" spans="1:17" x14ac:dyDescent="0.25">
      <c r="A19" s="345" t="s">
        <v>76</v>
      </c>
      <c r="B19" s="346">
        <v>338</v>
      </c>
      <c r="C19" s="346">
        <v>309</v>
      </c>
      <c r="D19" s="346">
        <v>277</v>
      </c>
      <c r="E19" s="346">
        <v>270</v>
      </c>
      <c r="F19" s="346">
        <v>388</v>
      </c>
      <c r="G19" s="346">
        <v>388</v>
      </c>
      <c r="H19" s="346">
        <v>388</v>
      </c>
      <c r="I19" s="346">
        <v>14085.156999999999</v>
      </c>
      <c r="J19" s="346">
        <v>14845.7</v>
      </c>
      <c r="K19" s="346">
        <v>16243.5</v>
      </c>
      <c r="L19" s="346">
        <f>23201.1-13.98</f>
        <v>23187.119999999999</v>
      </c>
      <c r="M19" s="346">
        <f>70.55*F19-3.5</f>
        <v>27369.899999999998</v>
      </c>
      <c r="N19" s="346">
        <f>66.55*G19+49.5</f>
        <v>25870.899999999998</v>
      </c>
      <c r="O19" s="346">
        <f>N19</f>
        <v>25870.899999999998</v>
      </c>
      <c r="P19" s="347">
        <f>O19</f>
        <v>25870.899999999998</v>
      </c>
    </row>
    <row r="20" spans="1:17" ht="31.5" x14ac:dyDescent="0.25">
      <c r="A20" s="20" t="s">
        <v>73</v>
      </c>
      <c r="B20" s="21">
        <v>338</v>
      </c>
      <c r="C20" s="21">
        <v>309</v>
      </c>
      <c r="D20" s="21">
        <v>277</v>
      </c>
      <c r="E20" s="21">
        <v>270</v>
      </c>
      <c r="F20" s="21">
        <v>388</v>
      </c>
      <c r="G20" s="21">
        <v>388</v>
      </c>
      <c r="H20" s="21">
        <v>382</v>
      </c>
      <c r="I20" s="21">
        <v>14085.156999999999</v>
      </c>
      <c r="J20" s="21">
        <v>14845.7</v>
      </c>
      <c r="K20" s="61">
        <v>16243.5</v>
      </c>
      <c r="L20" s="61">
        <f>23201.1-13.98</f>
        <v>23187.119999999999</v>
      </c>
      <c r="M20" s="61">
        <f>70.55*F20-3.5</f>
        <v>27369.899999999998</v>
      </c>
      <c r="N20" s="61">
        <v>33657</v>
      </c>
      <c r="O20" s="23">
        <f>72.988522061*H20</f>
        <v>27881.615427302</v>
      </c>
      <c r="P20" s="21">
        <f>O20</f>
        <v>27881.615427302</v>
      </c>
      <c r="Q20" s="61">
        <f>P20</f>
        <v>27881.615427302</v>
      </c>
    </row>
    <row r="21" spans="1:17" x14ac:dyDescent="0.25">
      <c r="A21" s="349"/>
      <c r="B21" s="350"/>
      <c r="C21" s="350"/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1"/>
    </row>
    <row r="22" spans="1:17" x14ac:dyDescent="0.25">
      <c r="A22" s="11" t="s">
        <v>70</v>
      </c>
      <c r="B22" s="342" t="s">
        <v>81</v>
      </c>
      <c r="C22" s="343"/>
      <c r="D22" s="343"/>
      <c r="E22" s="343"/>
      <c r="F22" s="343"/>
      <c r="G22" s="343"/>
      <c r="H22" s="343"/>
      <c r="I22" s="343"/>
      <c r="J22" s="343"/>
      <c r="K22" s="343"/>
      <c r="L22" s="343"/>
      <c r="M22" s="343"/>
      <c r="N22" s="343"/>
      <c r="O22" s="343"/>
      <c r="P22" s="344"/>
      <c r="Q22" s="63"/>
    </row>
    <row r="23" spans="1:17" x14ac:dyDescent="0.25">
      <c r="A23" s="345" t="s">
        <v>82</v>
      </c>
      <c r="B23" s="346"/>
      <c r="C23" s="346"/>
      <c r="D23" s="346"/>
      <c r="E23" s="346"/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7"/>
    </row>
    <row r="24" spans="1:17" ht="31.5" x14ac:dyDescent="0.25">
      <c r="A24" s="20" t="s">
        <v>73</v>
      </c>
      <c r="B24" s="21">
        <v>2859</v>
      </c>
      <c r="C24" s="21">
        <v>2860</v>
      </c>
      <c r="D24" s="21">
        <v>2850</v>
      </c>
      <c r="E24" s="21">
        <v>2783</v>
      </c>
      <c r="F24" s="21">
        <v>2783</v>
      </c>
      <c r="G24" s="21">
        <v>2783</v>
      </c>
      <c r="H24" s="21">
        <v>2783</v>
      </c>
      <c r="I24" s="61">
        <v>6990.7</v>
      </c>
      <c r="J24" s="21">
        <v>7764.9</v>
      </c>
      <c r="K24" s="21">
        <v>7414.4</v>
      </c>
      <c r="L24" s="21">
        <v>8058.3</v>
      </c>
      <c r="M24" s="21">
        <v>7980.8</v>
      </c>
      <c r="N24" s="21">
        <v>8394.1</v>
      </c>
      <c r="O24" s="23">
        <v>8506.6</v>
      </c>
      <c r="P24" s="21">
        <v>8493.4</v>
      </c>
      <c r="Q24" s="21">
        <v>8493.4</v>
      </c>
    </row>
    <row r="25" spans="1:17" x14ac:dyDescent="0.25">
      <c r="A25" s="349" t="s">
        <v>83</v>
      </c>
      <c r="B25" s="350"/>
      <c r="C25" s="350"/>
      <c r="D25" s="350"/>
      <c r="E25" s="350"/>
      <c r="F25" s="350"/>
      <c r="G25" s="350"/>
      <c r="H25" s="350"/>
      <c r="I25" s="350"/>
      <c r="J25" s="350"/>
      <c r="K25" s="350"/>
      <c r="L25" s="350"/>
      <c r="M25" s="350"/>
      <c r="N25" s="350"/>
      <c r="O25" s="350"/>
      <c r="P25" s="351"/>
    </row>
    <row r="26" spans="1:17" x14ac:dyDescent="0.25">
      <c r="A26" s="11" t="s">
        <v>70</v>
      </c>
      <c r="B26" s="342" t="s">
        <v>84</v>
      </c>
      <c r="C26" s="343"/>
      <c r="D26" s="343"/>
      <c r="E26" s="343"/>
      <c r="F26" s="343"/>
      <c r="G26" s="343"/>
      <c r="H26" s="343"/>
      <c r="I26" s="343"/>
      <c r="J26" s="343"/>
      <c r="K26" s="343"/>
      <c r="L26" s="343"/>
      <c r="M26" s="343"/>
      <c r="N26" s="343"/>
      <c r="O26" s="343"/>
      <c r="P26" s="344"/>
      <c r="Q26" s="63"/>
    </row>
    <row r="27" spans="1:17" x14ac:dyDescent="0.25">
      <c r="A27" s="345" t="s">
        <v>76</v>
      </c>
      <c r="B27" s="346"/>
      <c r="C27" s="346"/>
      <c r="D27" s="346"/>
      <c r="E27" s="346"/>
      <c r="F27" s="346"/>
      <c r="G27" s="346"/>
      <c r="H27" s="346"/>
      <c r="I27" s="346"/>
      <c r="J27" s="346"/>
      <c r="K27" s="346"/>
      <c r="L27" s="346"/>
      <c r="M27" s="346"/>
      <c r="N27" s="346"/>
      <c r="O27" s="346"/>
      <c r="P27" s="347"/>
    </row>
    <row r="28" spans="1:17" ht="31.5" x14ac:dyDescent="0.25">
      <c r="A28" s="20" t="s">
        <v>73</v>
      </c>
      <c r="B28" s="64">
        <v>1760</v>
      </c>
      <c r="C28" s="64">
        <v>1718</v>
      </c>
      <c r="D28" s="64">
        <v>1663</v>
      </c>
      <c r="E28" s="64">
        <v>1639</v>
      </c>
      <c r="F28" s="64">
        <v>1639</v>
      </c>
      <c r="G28" s="64">
        <v>1639</v>
      </c>
      <c r="H28" s="64">
        <v>1639</v>
      </c>
      <c r="I28" s="64">
        <v>24540.2</v>
      </c>
      <c r="J28" s="64">
        <v>27318.799999999999</v>
      </c>
      <c r="K28" s="65">
        <v>37615.9</v>
      </c>
      <c r="L28" s="65">
        <v>34556.199999999997</v>
      </c>
      <c r="M28" s="65">
        <v>32389.599999999999</v>
      </c>
      <c r="N28" s="64">
        <v>33657</v>
      </c>
      <c r="O28" s="66">
        <v>33597.300000000003</v>
      </c>
      <c r="P28" s="64">
        <v>32208.2</v>
      </c>
      <c r="Q28" s="64">
        <f>P28</f>
        <v>32208.2</v>
      </c>
    </row>
    <row r="29" spans="1:17" x14ac:dyDescent="0.25">
      <c r="A29" s="349" t="s">
        <v>85</v>
      </c>
      <c r="B29" s="350"/>
      <c r="C29" s="350"/>
      <c r="D29" s="350"/>
      <c r="E29" s="350"/>
      <c r="F29" s="350"/>
      <c r="G29" s="350"/>
      <c r="H29" s="350"/>
      <c r="I29" s="350"/>
      <c r="J29" s="350"/>
      <c r="K29" s="350"/>
      <c r="L29" s="350"/>
      <c r="M29" s="350"/>
      <c r="N29" s="350"/>
      <c r="O29" s="350"/>
      <c r="P29" s="351"/>
    </row>
    <row r="30" spans="1:17" x14ac:dyDescent="0.25">
      <c r="A30" s="11" t="s">
        <v>70</v>
      </c>
      <c r="B30" s="342" t="s">
        <v>86</v>
      </c>
      <c r="C30" s="343"/>
      <c r="D30" s="343"/>
      <c r="E30" s="343"/>
      <c r="F30" s="343"/>
      <c r="G30" s="343"/>
      <c r="H30" s="343"/>
      <c r="I30" s="343"/>
      <c r="J30" s="343"/>
      <c r="K30" s="343"/>
      <c r="L30" s="343"/>
      <c r="M30" s="343"/>
      <c r="N30" s="343"/>
      <c r="O30" s="343"/>
      <c r="P30" s="344"/>
    </row>
    <row r="31" spans="1:17" x14ac:dyDescent="0.25">
      <c r="A31" s="345" t="s">
        <v>76</v>
      </c>
      <c r="B31" s="346"/>
      <c r="C31" s="346"/>
      <c r="D31" s="346"/>
      <c r="E31" s="346"/>
      <c r="F31" s="346"/>
      <c r="G31" s="346"/>
      <c r="H31" s="346"/>
      <c r="I31" s="346"/>
      <c r="J31" s="346"/>
      <c r="K31" s="346"/>
      <c r="L31" s="346"/>
      <c r="M31" s="346"/>
      <c r="N31" s="346"/>
      <c r="O31" s="346"/>
      <c r="P31" s="347"/>
    </row>
    <row r="32" spans="1:17" ht="31.5" x14ac:dyDescent="0.25">
      <c r="A32" s="20" t="s">
        <v>73</v>
      </c>
      <c r="B32" s="21">
        <v>272</v>
      </c>
      <c r="C32" s="21">
        <v>272</v>
      </c>
      <c r="D32" s="21">
        <v>272</v>
      </c>
      <c r="E32" s="21">
        <v>509</v>
      </c>
      <c r="F32" s="21">
        <v>520</v>
      </c>
      <c r="G32" s="21">
        <v>520</v>
      </c>
      <c r="H32" s="21">
        <v>520</v>
      </c>
      <c r="I32" s="61">
        <v>1840.2</v>
      </c>
      <c r="J32" s="61">
        <v>1939.6</v>
      </c>
      <c r="K32" s="61">
        <v>760.7</v>
      </c>
      <c r="L32" s="61">
        <f>415+1197.4</f>
        <v>1612.4</v>
      </c>
      <c r="M32" s="61">
        <f>444+1240.7</f>
        <v>1684.7</v>
      </c>
      <c r="N32" s="61">
        <f>444+1240.7</f>
        <v>1684.7</v>
      </c>
      <c r="O32" s="62">
        <f>444+1240.7</f>
        <v>1684.7</v>
      </c>
      <c r="P32" s="61">
        <f>444+1240.7</f>
        <v>1684.7</v>
      </c>
      <c r="Q32" s="61">
        <f>444+1240.7</f>
        <v>1684.7</v>
      </c>
    </row>
    <row r="34" spans="1:15" x14ac:dyDescent="0.25">
      <c r="N34" s="67"/>
      <c r="O34" s="68"/>
    </row>
    <row r="35" spans="1:15" x14ac:dyDescent="0.25">
      <c r="A35" s="1" t="s">
        <v>33</v>
      </c>
      <c r="K35" s="348" t="s">
        <v>34</v>
      </c>
      <c r="L35" s="348"/>
      <c r="M35" s="348"/>
      <c r="N35" s="348"/>
      <c r="O35" s="348"/>
    </row>
  </sheetData>
  <mergeCells count="27">
    <mergeCell ref="A5:P5"/>
    <mergeCell ref="I1:P1"/>
    <mergeCell ref="A2:P2"/>
    <mergeCell ref="A3:A4"/>
    <mergeCell ref="B3:H3"/>
    <mergeCell ref="I3:Q3"/>
    <mergeCell ref="A21:P21"/>
    <mergeCell ref="B6:P6"/>
    <mergeCell ref="A7:P7"/>
    <mergeCell ref="A9:P9"/>
    <mergeCell ref="B10:P10"/>
    <mergeCell ref="A11:P11"/>
    <mergeCell ref="A13:P13"/>
    <mergeCell ref="B14:P14"/>
    <mergeCell ref="A15:P15"/>
    <mergeCell ref="A17:P17"/>
    <mergeCell ref="B18:P18"/>
    <mergeCell ref="A19:P19"/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view="pageBreakPreview" zoomScaleNormal="100" zoomScaleSheetLayoutView="100" workbookViewId="0">
      <pane xSplit="2" ySplit="6" topLeftCell="C67" activePane="bottomRight" state="frozen"/>
      <selection activeCell="O55" sqref="O55"/>
      <selection pane="topRight" activeCell="O55" sqref="O55"/>
      <selection pane="bottomLeft" activeCell="O55" sqref="O55"/>
      <selection pane="bottomRight" activeCell="O55" sqref="O55"/>
    </sheetView>
  </sheetViews>
  <sheetFormatPr defaultRowHeight="15.75" x14ac:dyDescent="0.25"/>
  <cols>
    <col min="1" max="1" width="7.5703125" style="126" customWidth="1"/>
    <col min="2" max="2" width="79.140625" style="34" customWidth="1"/>
    <col min="3" max="3" width="12" style="34" customWidth="1"/>
    <col min="4" max="4" width="11.85546875" style="34" customWidth="1"/>
    <col min="5" max="5" width="26.140625" style="34" customWidth="1"/>
    <col min="6" max="6" width="11.42578125" style="34" hidden="1" customWidth="1"/>
    <col min="7" max="13" width="10.7109375" style="34" customWidth="1"/>
    <col min="14" max="15" width="10.7109375" style="72" customWidth="1"/>
    <col min="16" max="16384" width="9.140625" style="34"/>
  </cols>
  <sheetData>
    <row r="1" spans="1:15" ht="65.25" customHeight="1" x14ac:dyDescent="0.25">
      <c r="A1" s="69"/>
      <c r="B1" s="70"/>
      <c r="C1" s="71"/>
      <c r="D1" s="70"/>
      <c r="E1" s="70"/>
      <c r="G1" s="362" t="s">
        <v>87</v>
      </c>
      <c r="H1" s="362"/>
      <c r="I1" s="362"/>
      <c r="J1" s="362"/>
      <c r="K1" s="362"/>
      <c r="L1" s="362"/>
      <c r="M1" s="362"/>
    </row>
    <row r="2" spans="1:15" ht="37.5" customHeight="1" x14ac:dyDescent="0.25">
      <c r="A2" s="363" t="s">
        <v>88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</row>
    <row r="3" spans="1:15" x14ac:dyDescent="0.25">
      <c r="A3" s="364" t="s">
        <v>89</v>
      </c>
      <c r="B3" s="355" t="s">
        <v>90</v>
      </c>
      <c r="C3" s="355" t="s">
        <v>91</v>
      </c>
      <c r="D3" s="355" t="s">
        <v>92</v>
      </c>
      <c r="E3" s="355" t="s">
        <v>93</v>
      </c>
      <c r="F3" s="321" t="s">
        <v>94</v>
      </c>
      <c r="G3" s="321" t="s">
        <v>41</v>
      </c>
      <c r="H3" s="321" t="s">
        <v>42</v>
      </c>
      <c r="I3" s="321" t="s">
        <v>43</v>
      </c>
      <c r="J3" s="321" t="s">
        <v>44</v>
      </c>
      <c r="K3" s="321" t="s">
        <v>45</v>
      </c>
      <c r="L3" s="321" t="s">
        <v>46</v>
      </c>
      <c r="M3" s="321" t="s">
        <v>47</v>
      </c>
      <c r="N3" s="321" t="s">
        <v>48</v>
      </c>
      <c r="O3" s="321" t="s">
        <v>49</v>
      </c>
    </row>
    <row r="4" spans="1:15" x14ac:dyDescent="0.25">
      <c r="A4" s="364"/>
      <c r="B4" s="355"/>
      <c r="C4" s="355"/>
      <c r="D4" s="355"/>
      <c r="E4" s="355"/>
      <c r="F4" s="321"/>
      <c r="G4" s="321"/>
      <c r="H4" s="321"/>
      <c r="I4" s="321"/>
      <c r="J4" s="321"/>
      <c r="K4" s="321"/>
      <c r="L4" s="321"/>
      <c r="M4" s="321"/>
      <c r="N4" s="321"/>
      <c r="O4" s="321"/>
    </row>
    <row r="5" spans="1:15" x14ac:dyDescent="0.25">
      <c r="A5" s="364"/>
      <c r="B5" s="355"/>
      <c r="C5" s="355"/>
      <c r="D5" s="355"/>
      <c r="E5" s="355"/>
      <c r="F5" s="321"/>
      <c r="G5" s="321"/>
      <c r="H5" s="321"/>
      <c r="I5" s="321"/>
      <c r="J5" s="321"/>
      <c r="K5" s="321"/>
      <c r="L5" s="321"/>
      <c r="M5" s="321"/>
      <c r="N5" s="321"/>
      <c r="O5" s="321"/>
    </row>
    <row r="6" spans="1:15" x14ac:dyDescent="0.25">
      <c r="A6" s="355" t="s">
        <v>95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73"/>
    </row>
    <row r="7" spans="1:15" ht="47.25" x14ac:dyDescent="0.25">
      <c r="A7" s="22">
        <v>1</v>
      </c>
      <c r="B7" s="74" t="s">
        <v>96</v>
      </c>
      <c r="C7" s="21" t="s">
        <v>97</v>
      </c>
      <c r="D7" s="75" t="s">
        <v>98</v>
      </c>
      <c r="E7" s="76" t="s">
        <v>99</v>
      </c>
      <c r="F7" s="77"/>
      <c r="G7" s="78">
        <v>95</v>
      </c>
      <c r="H7" s="78">
        <v>95</v>
      </c>
      <c r="I7" s="78">
        <v>96</v>
      </c>
      <c r="J7" s="78">
        <v>96</v>
      </c>
      <c r="K7" s="78">
        <v>96</v>
      </c>
      <c r="L7" s="78">
        <v>96</v>
      </c>
      <c r="M7" s="78">
        <v>96</v>
      </c>
      <c r="N7" s="78">
        <v>96</v>
      </c>
      <c r="O7" s="79"/>
    </row>
    <row r="8" spans="1:15" ht="63" x14ac:dyDescent="0.25">
      <c r="A8" s="22" t="s">
        <v>100</v>
      </c>
      <c r="B8" s="74" t="s">
        <v>101</v>
      </c>
      <c r="C8" s="21" t="s">
        <v>97</v>
      </c>
      <c r="D8" s="75" t="s">
        <v>98</v>
      </c>
      <c r="E8" s="76" t="s">
        <v>102</v>
      </c>
      <c r="F8" s="61">
        <v>80</v>
      </c>
      <c r="G8" s="23">
        <v>91.3</v>
      </c>
      <c r="H8" s="23">
        <v>100</v>
      </c>
      <c r="I8" s="23">
        <v>100</v>
      </c>
      <c r="J8" s="23">
        <v>100</v>
      </c>
      <c r="K8" s="23">
        <v>100</v>
      </c>
      <c r="L8" s="23">
        <v>100</v>
      </c>
      <c r="M8" s="23">
        <v>100</v>
      </c>
      <c r="N8" s="23">
        <v>100</v>
      </c>
      <c r="O8" s="80"/>
    </row>
    <row r="9" spans="1:15" ht="63" x14ac:dyDescent="0.25">
      <c r="A9" s="22" t="s">
        <v>103</v>
      </c>
      <c r="B9" s="81" t="s">
        <v>104</v>
      </c>
      <c r="C9" s="75" t="s">
        <v>97</v>
      </c>
      <c r="D9" s="75" t="s">
        <v>98</v>
      </c>
      <c r="E9" s="75" t="s">
        <v>102</v>
      </c>
      <c r="F9" s="75">
        <v>1.96</v>
      </c>
      <c r="G9" s="82">
        <v>98.53</v>
      </c>
      <c r="H9" s="82">
        <v>98.6</v>
      </c>
      <c r="I9" s="82">
        <v>98.6</v>
      </c>
      <c r="J9" s="82">
        <v>100</v>
      </c>
      <c r="K9" s="82">
        <v>100</v>
      </c>
      <c r="L9" s="82">
        <v>100</v>
      </c>
      <c r="M9" s="82">
        <v>100</v>
      </c>
      <c r="N9" s="82">
        <v>100</v>
      </c>
      <c r="O9" s="83"/>
    </row>
    <row r="10" spans="1:15" ht="63" x14ac:dyDescent="0.25">
      <c r="A10" s="22" t="s">
        <v>105</v>
      </c>
      <c r="B10" s="74" t="s">
        <v>106</v>
      </c>
      <c r="C10" s="21" t="s">
        <v>97</v>
      </c>
      <c r="D10" s="75" t="s">
        <v>98</v>
      </c>
      <c r="E10" s="75" t="s">
        <v>102</v>
      </c>
      <c r="F10" s="84">
        <v>60.5</v>
      </c>
      <c r="G10" s="85">
        <v>67</v>
      </c>
      <c r="H10" s="85">
        <v>83</v>
      </c>
      <c r="I10" s="85">
        <v>83</v>
      </c>
      <c r="J10" s="85">
        <v>83</v>
      </c>
      <c r="K10" s="85">
        <v>83</v>
      </c>
      <c r="L10" s="85">
        <v>83</v>
      </c>
      <c r="M10" s="85">
        <v>100</v>
      </c>
      <c r="N10" s="85">
        <v>100</v>
      </c>
      <c r="O10" s="86"/>
    </row>
    <row r="11" spans="1:15" s="57" customFormat="1" x14ac:dyDescent="0.25">
      <c r="A11" s="358" t="s">
        <v>107</v>
      </c>
      <c r="B11" s="358"/>
      <c r="C11" s="358"/>
      <c r="D11" s="358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87"/>
    </row>
    <row r="12" spans="1:15" s="57" customFormat="1" x14ac:dyDescent="0.25">
      <c r="A12" s="358" t="s">
        <v>108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87"/>
    </row>
    <row r="13" spans="1:15" s="57" customFormat="1" x14ac:dyDescent="0.25">
      <c r="A13" s="358" t="s">
        <v>109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87"/>
    </row>
    <row r="14" spans="1:15" ht="31.5" x14ac:dyDescent="0.25">
      <c r="A14" s="22" t="s">
        <v>110</v>
      </c>
      <c r="B14" s="74" t="s">
        <v>111</v>
      </c>
      <c r="C14" s="23" t="s">
        <v>97</v>
      </c>
      <c r="D14" s="21">
        <v>0.02</v>
      </c>
      <c r="E14" s="88" t="s">
        <v>112</v>
      </c>
      <c r="F14" s="23">
        <v>64</v>
      </c>
      <c r="G14" s="23">
        <v>90.1</v>
      </c>
      <c r="H14" s="62">
        <v>97.5</v>
      </c>
      <c r="I14" s="62">
        <v>100</v>
      </c>
      <c r="J14" s="62">
        <v>100</v>
      </c>
      <c r="K14" s="62">
        <v>100</v>
      </c>
      <c r="L14" s="62">
        <v>100</v>
      </c>
      <c r="M14" s="62">
        <v>100</v>
      </c>
      <c r="N14" s="62">
        <v>100</v>
      </c>
      <c r="O14" s="89"/>
    </row>
    <row r="15" spans="1:15" ht="63" x14ac:dyDescent="0.25">
      <c r="A15" s="22" t="s">
        <v>113</v>
      </c>
      <c r="B15" s="74" t="s">
        <v>114</v>
      </c>
      <c r="C15" s="23" t="s">
        <v>97</v>
      </c>
      <c r="D15" s="21">
        <v>0.02</v>
      </c>
      <c r="E15" s="88" t="s">
        <v>112</v>
      </c>
      <c r="F15" s="60">
        <v>78.8</v>
      </c>
      <c r="G15" s="60">
        <v>85</v>
      </c>
      <c r="H15" s="60">
        <v>97</v>
      </c>
      <c r="I15" s="62">
        <v>100</v>
      </c>
      <c r="J15" s="62">
        <v>100</v>
      </c>
      <c r="K15" s="62">
        <v>100</v>
      </c>
      <c r="L15" s="62">
        <v>100</v>
      </c>
      <c r="M15" s="62">
        <v>100</v>
      </c>
      <c r="N15" s="62">
        <v>100</v>
      </c>
      <c r="O15" s="89"/>
    </row>
    <row r="16" spans="1:15" ht="94.5" x14ac:dyDescent="0.25">
      <c r="A16" s="22" t="s">
        <v>115</v>
      </c>
      <c r="B16" s="74" t="s">
        <v>116</v>
      </c>
      <c r="C16" s="23" t="s">
        <v>97</v>
      </c>
      <c r="D16" s="21">
        <v>0.02</v>
      </c>
      <c r="E16" s="88" t="s">
        <v>112</v>
      </c>
      <c r="F16" s="90" t="s">
        <v>117</v>
      </c>
      <c r="G16" s="23" t="s">
        <v>117</v>
      </c>
      <c r="H16" s="62">
        <v>0</v>
      </c>
      <c r="I16" s="62">
        <v>0</v>
      </c>
      <c r="J16" s="62">
        <v>100</v>
      </c>
      <c r="K16" s="62">
        <v>100</v>
      </c>
      <c r="L16" s="62">
        <v>100</v>
      </c>
      <c r="M16" s="62">
        <v>100</v>
      </c>
      <c r="N16" s="62">
        <v>100</v>
      </c>
      <c r="O16" s="89"/>
    </row>
    <row r="17" spans="1:15" ht="78.75" x14ac:dyDescent="0.25">
      <c r="A17" s="22" t="s">
        <v>118</v>
      </c>
      <c r="B17" s="74" t="s">
        <v>119</v>
      </c>
      <c r="C17" s="23" t="s">
        <v>97</v>
      </c>
      <c r="D17" s="21">
        <v>0.02</v>
      </c>
      <c r="E17" s="88" t="s">
        <v>112</v>
      </c>
      <c r="F17" s="23" t="s">
        <v>117</v>
      </c>
      <c r="G17" s="23" t="s">
        <v>120</v>
      </c>
      <c r="H17" s="62" t="s">
        <v>121</v>
      </c>
      <c r="I17" s="62" t="s">
        <v>121</v>
      </c>
      <c r="J17" s="62" t="s">
        <v>121</v>
      </c>
      <c r="K17" s="62" t="s">
        <v>121</v>
      </c>
      <c r="L17" s="62" t="s">
        <v>121</v>
      </c>
      <c r="M17" s="62" t="s">
        <v>121</v>
      </c>
      <c r="N17" s="62" t="s">
        <v>121</v>
      </c>
      <c r="O17" s="89"/>
    </row>
    <row r="18" spans="1:15" s="57" customFormat="1" x14ac:dyDescent="0.25">
      <c r="A18" s="358" t="s">
        <v>122</v>
      </c>
      <c r="B18" s="358"/>
      <c r="C18" s="358"/>
      <c r="D18" s="358"/>
      <c r="E18" s="358"/>
      <c r="F18" s="358"/>
      <c r="G18" s="358"/>
      <c r="H18" s="358"/>
      <c r="I18" s="358"/>
      <c r="J18" s="358"/>
      <c r="K18" s="358"/>
      <c r="L18" s="358"/>
      <c r="M18" s="358"/>
      <c r="N18" s="358"/>
      <c r="O18" s="87"/>
    </row>
    <row r="19" spans="1:15" s="57" customFormat="1" x14ac:dyDescent="0.25">
      <c r="A19" s="358" t="s">
        <v>123</v>
      </c>
      <c r="B19" s="358"/>
      <c r="C19" s="358"/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  <c r="O19" s="87"/>
    </row>
    <row r="20" spans="1:15" s="57" customFormat="1" x14ac:dyDescent="0.25">
      <c r="A20" s="358" t="s">
        <v>124</v>
      </c>
      <c r="B20" s="358"/>
      <c r="C20" s="358"/>
      <c r="D20" s="358"/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87"/>
    </row>
    <row r="21" spans="1:15" ht="31.5" x14ac:dyDescent="0.25">
      <c r="A21" s="22" t="s">
        <v>125</v>
      </c>
      <c r="B21" s="74" t="s">
        <v>126</v>
      </c>
      <c r="C21" s="21" t="s">
        <v>97</v>
      </c>
      <c r="D21" s="21">
        <v>0.02</v>
      </c>
      <c r="E21" s="76" t="s">
        <v>102</v>
      </c>
      <c r="F21" s="21" t="s">
        <v>127</v>
      </c>
      <c r="G21" s="91">
        <v>71.400000000000006</v>
      </c>
      <c r="H21" s="91">
        <v>85.7</v>
      </c>
      <c r="I21" s="84">
        <v>85.7</v>
      </c>
      <c r="J21" s="84">
        <v>85.7</v>
      </c>
      <c r="K21" s="84">
        <v>85.7</v>
      </c>
      <c r="L21" s="84">
        <v>85.7</v>
      </c>
      <c r="M21" s="84">
        <v>85.7</v>
      </c>
      <c r="N21" s="84">
        <v>85.7</v>
      </c>
      <c r="O21" s="92"/>
    </row>
    <row r="22" spans="1:15" ht="31.5" x14ac:dyDescent="0.25">
      <c r="A22" s="22" t="s">
        <v>128</v>
      </c>
      <c r="B22" s="74" t="s">
        <v>129</v>
      </c>
      <c r="C22" s="21" t="s">
        <v>97</v>
      </c>
      <c r="D22" s="21">
        <v>0.02</v>
      </c>
      <c r="E22" s="76" t="s">
        <v>102</v>
      </c>
      <c r="F22" s="21" t="s">
        <v>127</v>
      </c>
      <c r="G22" s="93">
        <v>75</v>
      </c>
      <c r="H22" s="93">
        <v>75</v>
      </c>
      <c r="I22" s="84">
        <v>75</v>
      </c>
      <c r="J22" s="84">
        <v>85</v>
      </c>
      <c r="K22" s="84">
        <v>85</v>
      </c>
      <c r="L22" s="84">
        <v>85</v>
      </c>
      <c r="M22" s="84">
        <v>85</v>
      </c>
      <c r="N22" s="84">
        <v>85</v>
      </c>
      <c r="O22" s="92"/>
    </row>
    <row r="23" spans="1:15" ht="31.5" x14ac:dyDescent="0.25">
      <c r="A23" s="22" t="s">
        <v>130</v>
      </c>
      <c r="B23" s="74" t="s">
        <v>131</v>
      </c>
      <c r="C23" s="21" t="s">
        <v>132</v>
      </c>
      <c r="D23" s="21">
        <v>0.02</v>
      </c>
      <c r="E23" s="76" t="s">
        <v>102</v>
      </c>
      <c r="F23" s="21"/>
      <c r="G23" s="93">
        <v>8</v>
      </c>
      <c r="H23" s="93">
        <v>8</v>
      </c>
      <c r="I23" s="84">
        <v>8</v>
      </c>
      <c r="J23" s="84">
        <v>8</v>
      </c>
      <c r="K23" s="84">
        <v>8</v>
      </c>
      <c r="L23" s="84">
        <v>8</v>
      </c>
      <c r="M23" s="84">
        <v>8</v>
      </c>
      <c r="N23" s="84">
        <v>8</v>
      </c>
      <c r="O23" s="92"/>
    </row>
    <row r="24" spans="1:15" ht="31.5" x14ac:dyDescent="0.25">
      <c r="A24" s="22" t="s">
        <v>133</v>
      </c>
      <c r="B24" s="74" t="s">
        <v>134</v>
      </c>
      <c r="C24" s="21" t="s">
        <v>97</v>
      </c>
      <c r="D24" s="21">
        <v>0.02</v>
      </c>
      <c r="E24" s="76" t="s">
        <v>102</v>
      </c>
      <c r="F24" s="21"/>
      <c r="G24" s="93">
        <v>100</v>
      </c>
      <c r="H24" s="93">
        <v>100</v>
      </c>
      <c r="I24" s="84">
        <v>100</v>
      </c>
      <c r="J24" s="84">
        <v>100</v>
      </c>
      <c r="K24" s="84">
        <v>100</v>
      </c>
      <c r="L24" s="84">
        <v>100</v>
      </c>
      <c r="M24" s="84">
        <v>100</v>
      </c>
      <c r="N24" s="84">
        <v>100</v>
      </c>
      <c r="O24" s="92"/>
    </row>
    <row r="25" spans="1:15" ht="31.5" x14ac:dyDescent="0.25">
      <c r="A25" s="22" t="s">
        <v>135</v>
      </c>
      <c r="B25" s="74" t="s">
        <v>136</v>
      </c>
      <c r="C25" s="21" t="s">
        <v>132</v>
      </c>
      <c r="D25" s="21">
        <v>0.02</v>
      </c>
      <c r="E25" s="76" t="s">
        <v>102</v>
      </c>
      <c r="F25" s="21" t="s">
        <v>127</v>
      </c>
      <c r="G25" s="93">
        <v>7</v>
      </c>
      <c r="H25" s="93">
        <v>7</v>
      </c>
      <c r="I25" s="93">
        <v>7</v>
      </c>
      <c r="J25" s="93">
        <v>7</v>
      </c>
      <c r="K25" s="93">
        <v>7</v>
      </c>
      <c r="L25" s="93">
        <v>7</v>
      </c>
      <c r="M25" s="93">
        <v>7</v>
      </c>
      <c r="N25" s="93">
        <v>7</v>
      </c>
      <c r="O25" s="94"/>
    </row>
    <row r="26" spans="1:15" s="57" customFormat="1" x14ac:dyDescent="0.25">
      <c r="A26" s="358" t="s">
        <v>137</v>
      </c>
      <c r="B26" s="358"/>
      <c r="C26" s="358"/>
      <c r="D26" s="358"/>
      <c r="E26" s="358"/>
      <c r="F26" s="358"/>
      <c r="G26" s="358"/>
      <c r="H26" s="358"/>
      <c r="I26" s="358"/>
      <c r="J26" s="358"/>
      <c r="K26" s="358"/>
      <c r="L26" s="358"/>
      <c r="M26" s="358"/>
      <c r="N26" s="358"/>
      <c r="O26" s="87"/>
    </row>
    <row r="27" spans="1:15" ht="31.5" x14ac:dyDescent="0.25">
      <c r="A27" s="22" t="s">
        <v>138</v>
      </c>
      <c r="B27" s="74" t="s">
        <v>139</v>
      </c>
      <c r="C27" s="75" t="s">
        <v>97</v>
      </c>
      <c r="D27" s="21">
        <v>0.02</v>
      </c>
      <c r="E27" s="75" t="s">
        <v>102</v>
      </c>
      <c r="F27" s="6">
        <v>15.6</v>
      </c>
      <c r="G27" s="93">
        <v>87.5</v>
      </c>
      <c r="H27" s="93">
        <v>100</v>
      </c>
      <c r="I27" s="93">
        <v>100</v>
      </c>
      <c r="J27" s="93">
        <v>100</v>
      </c>
      <c r="K27" s="93">
        <v>100</v>
      </c>
      <c r="L27" s="95">
        <v>100</v>
      </c>
      <c r="M27" s="95">
        <v>100</v>
      </c>
      <c r="N27" s="95">
        <v>100</v>
      </c>
      <c r="O27" s="96"/>
    </row>
    <row r="28" spans="1:15" ht="31.5" x14ac:dyDescent="0.25">
      <c r="A28" s="22" t="s">
        <v>140</v>
      </c>
      <c r="B28" s="74" t="s">
        <v>141</v>
      </c>
      <c r="C28" s="75" t="s">
        <v>97</v>
      </c>
      <c r="D28" s="21">
        <v>0.03</v>
      </c>
      <c r="E28" s="75" t="s">
        <v>102</v>
      </c>
      <c r="F28" s="6">
        <v>83.66</v>
      </c>
      <c r="G28" s="93">
        <v>89</v>
      </c>
      <c r="H28" s="93">
        <v>90</v>
      </c>
      <c r="I28" s="95">
        <v>95</v>
      </c>
      <c r="J28" s="95">
        <v>95</v>
      </c>
      <c r="K28" s="95">
        <v>95</v>
      </c>
      <c r="L28" s="95">
        <v>95</v>
      </c>
      <c r="M28" s="95">
        <v>95</v>
      </c>
      <c r="N28" s="95">
        <v>95</v>
      </c>
      <c r="O28" s="96"/>
    </row>
    <row r="29" spans="1:15" ht="63" x14ac:dyDescent="0.25">
      <c r="A29" s="22" t="s">
        <v>142</v>
      </c>
      <c r="B29" s="74" t="s">
        <v>143</v>
      </c>
      <c r="C29" s="75" t="s">
        <v>97</v>
      </c>
      <c r="D29" s="21">
        <v>0.03</v>
      </c>
      <c r="E29" s="75" t="s">
        <v>102</v>
      </c>
      <c r="F29" s="97">
        <v>90</v>
      </c>
      <c r="G29" s="93">
        <v>10.1</v>
      </c>
      <c r="H29" s="93">
        <v>10.1</v>
      </c>
      <c r="I29" s="95">
        <v>10.1</v>
      </c>
      <c r="J29" s="95">
        <v>9.1</v>
      </c>
      <c r="K29" s="95">
        <v>9.5</v>
      </c>
      <c r="L29" s="95">
        <v>10.1</v>
      </c>
      <c r="M29" s="95">
        <v>10.1</v>
      </c>
      <c r="N29" s="95">
        <v>10.1</v>
      </c>
      <c r="O29" s="96"/>
    </row>
    <row r="30" spans="1:15" s="98" customFormat="1" ht="63" x14ac:dyDescent="0.2">
      <c r="A30" s="22" t="s">
        <v>144</v>
      </c>
      <c r="B30" s="74" t="s">
        <v>145</v>
      </c>
      <c r="C30" s="21" t="s">
        <v>97</v>
      </c>
      <c r="D30" s="21">
        <v>0.03</v>
      </c>
      <c r="E30" s="76" t="s">
        <v>99</v>
      </c>
      <c r="F30" s="84">
        <v>2.34</v>
      </c>
      <c r="G30" s="93">
        <v>1.1299999999999999</v>
      </c>
      <c r="H30" s="93">
        <v>1.57</v>
      </c>
      <c r="I30" s="93">
        <v>1.72</v>
      </c>
      <c r="J30" s="93">
        <v>1.86</v>
      </c>
      <c r="K30" s="93">
        <v>1.87</v>
      </c>
      <c r="L30" s="93">
        <v>1.9</v>
      </c>
      <c r="M30" s="93">
        <v>1.9</v>
      </c>
      <c r="N30" s="93">
        <v>1.9</v>
      </c>
      <c r="O30" s="94"/>
    </row>
    <row r="31" spans="1:15" ht="47.25" x14ac:dyDescent="0.25">
      <c r="A31" s="22" t="s">
        <v>146</v>
      </c>
      <c r="B31" s="74" t="s">
        <v>147</v>
      </c>
      <c r="C31" s="75" t="s">
        <v>97</v>
      </c>
      <c r="D31" s="21">
        <v>0.02</v>
      </c>
      <c r="E31" s="75" t="s">
        <v>102</v>
      </c>
      <c r="F31" s="6">
        <v>9.7799999999999994</v>
      </c>
      <c r="G31" s="91">
        <v>39</v>
      </c>
      <c r="H31" s="91">
        <v>41</v>
      </c>
      <c r="I31" s="95">
        <v>41</v>
      </c>
      <c r="J31" s="99">
        <v>42.5</v>
      </c>
      <c r="K31" s="99">
        <v>48.8</v>
      </c>
      <c r="L31" s="99">
        <v>50.2</v>
      </c>
      <c r="M31" s="99">
        <v>50.2</v>
      </c>
      <c r="N31" s="99">
        <v>50.2</v>
      </c>
      <c r="O31" s="100"/>
    </row>
    <row r="32" spans="1:15" ht="63" x14ac:dyDescent="0.25">
      <c r="A32" s="22" t="s">
        <v>148</v>
      </c>
      <c r="B32" s="74" t="s">
        <v>149</v>
      </c>
      <c r="C32" s="101" t="s">
        <v>97</v>
      </c>
      <c r="D32" s="21">
        <v>0.03</v>
      </c>
      <c r="E32" s="75" t="s">
        <v>102</v>
      </c>
      <c r="F32" s="101">
        <v>83</v>
      </c>
      <c r="G32" s="91">
        <v>0</v>
      </c>
      <c r="H32" s="91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  <c r="N32" s="95">
        <v>0</v>
      </c>
      <c r="O32" s="96"/>
    </row>
    <row r="33" spans="1:15" ht="47.25" x14ac:dyDescent="0.25">
      <c r="A33" s="22" t="s">
        <v>150</v>
      </c>
      <c r="B33" s="74" t="s">
        <v>151</v>
      </c>
      <c r="C33" s="101" t="s">
        <v>97</v>
      </c>
      <c r="D33" s="21">
        <v>0.02</v>
      </c>
      <c r="E33" s="75" t="s">
        <v>102</v>
      </c>
      <c r="F33" s="102">
        <v>35</v>
      </c>
      <c r="G33" s="103">
        <v>93.5</v>
      </c>
      <c r="H33" s="103">
        <v>93.5</v>
      </c>
      <c r="I33" s="99">
        <v>95</v>
      </c>
      <c r="J33" s="99">
        <v>100</v>
      </c>
      <c r="K33" s="99">
        <v>100</v>
      </c>
      <c r="L33" s="99">
        <v>100</v>
      </c>
      <c r="M33" s="99">
        <v>100</v>
      </c>
      <c r="N33" s="99">
        <v>100</v>
      </c>
      <c r="O33" s="100"/>
    </row>
    <row r="34" spans="1:15" ht="47.25" x14ac:dyDescent="0.25">
      <c r="A34" s="22" t="s">
        <v>152</v>
      </c>
      <c r="B34" s="74" t="s">
        <v>153</v>
      </c>
      <c r="C34" s="101" t="s">
        <v>97</v>
      </c>
      <c r="D34" s="21">
        <v>0.02</v>
      </c>
      <c r="E34" s="75" t="s">
        <v>102</v>
      </c>
      <c r="F34" s="102">
        <v>45</v>
      </c>
      <c r="G34" s="103">
        <v>92</v>
      </c>
      <c r="H34" s="103">
        <v>92</v>
      </c>
      <c r="I34" s="99">
        <v>92</v>
      </c>
      <c r="J34" s="99">
        <v>100</v>
      </c>
      <c r="K34" s="99">
        <v>100</v>
      </c>
      <c r="L34" s="99">
        <v>100</v>
      </c>
      <c r="M34" s="99">
        <v>100</v>
      </c>
      <c r="N34" s="99">
        <v>100</v>
      </c>
      <c r="O34" s="100"/>
    </row>
    <row r="35" spans="1:15" ht="31.5" x14ac:dyDescent="0.25">
      <c r="A35" s="22" t="s">
        <v>154</v>
      </c>
      <c r="B35" s="74" t="s">
        <v>155</v>
      </c>
      <c r="C35" s="101" t="s">
        <v>97</v>
      </c>
      <c r="D35" s="21">
        <v>0.02</v>
      </c>
      <c r="E35" s="75" t="s">
        <v>102</v>
      </c>
      <c r="F35" s="102">
        <v>1</v>
      </c>
      <c r="G35" s="93">
        <v>96</v>
      </c>
      <c r="H35" s="93">
        <v>96.5</v>
      </c>
      <c r="I35" s="95">
        <v>97</v>
      </c>
      <c r="J35" s="95">
        <v>97</v>
      </c>
      <c r="K35" s="95">
        <v>98</v>
      </c>
      <c r="L35" s="95">
        <v>98</v>
      </c>
      <c r="M35" s="95">
        <v>98</v>
      </c>
      <c r="N35" s="95">
        <v>98</v>
      </c>
      <c r="O35" s="96"/>
    </row>
    <row r="36" spans="1:15" ht="94.5" x14ac:dyDescent="0.25">
      <c r="A36" s="22" t="s">
        <v>156</v>
      </c>
      <c r="B36" s="74" t="s">
        <v>157</v>
      </c>
      <c r="C36" s="75" t="s">
        <v>97</v>
      </c>
      <c r="D36" s="21">
        <v>0.02</v>
      </c>
      <c r="E36" s="75" t="s">
        <v>102</v>
      </c>
      <c r="F36" s="75" t="s">
        <v>127</v>
      </c>
      <c r="G36" s="93">
        <v>2.5</v>
      </c>
      <c r="H36" s="93">
        <v>3</v>
      </c>
      <c r="I36" s="95">
        <v>3.4</v>
      </c>
      <c r="J36" s="95">
        <v>2.4</v>
      </c>
      <c r="K36" s="95">
        <v>2.8</v>
      </c>
      <c r="L36" s="95">
        <v>2.8</v>
      </c>
      <c r="M36" s="95">
        <v>2.8</v>
      </c>
      <c r="N36" s="95">
        <v>2.8</v>
      </c>
      <c r="O36" s="96"/>
    </row>
    <row r="37" spans="1:15" s="57" customFormat="1" x14ac:dyDescent="0.25">
      <c r="A37" s="358" t="s">
        <v>158</v>
      </c>
      <c r="B37" s="358"/>
      <c r="C37" s="358"/>
      <c r="D37" s="358"/>
      <c r="E37" s="358"/>
      <c r="F37" s="358"/>
      <c r="G37" s="358"/>
      <c r="H37" s="358"/>
      <c r="I37" s="358"/>
      <c r="J37" s="358"/>
      <c r="K37" s="358"/>
      <c r="L37" s="358"/>
      <c r="M37" s="358"/>
      <c r="N37" s="358"/>
      <c r="O37" s="87"/>
    </row>
    <row r="38" spans="1:15" ht="31.5" x14ac:dyDescent="0.25">
      <c r="A38" s="104" t="s">
        <v>159</v>
      </c>
      <c r="B38" s="74" t="s">
        <v>160</v>
      </c>
      <c r="C38" s="21" t="s">
        <v>97</v>
      </c>
      <c r="D38" s="21">
        <v>0.03</v>
      </c>
      <c r="E38" s="76" t="s">
        <v>102</v>
      </c>
      <c r="F38" s="75">
        <v>70</v>
      </c>
      <c r="G38" s="93">
        <v>75</v>
      </c>
      <c r="H38" s="93">
        <v>75</v>
      </c>
      <c r="I38" s="105">
        <v>75</v>
      </c>
      <c r="J38" s="105">
        <v>93</v>
      </c>
      <c r="K38" s="105">
        <v>93</v>
      </c>
      <c r="L38" s="105">
        <v>75</v>
      </c>
      <c r="M38" s="105">
        <v>75</v>
      </c>
      <c r="N38" s="105">
        <v>75</v>
      </c>
      <c r="O38" s="106"/>
    </row>
    <row r="39" spans="1:15" ht="31.5" x14ac:dyDescent="0.25">
      <c r="A39" s="104" t="s">
        <v>161</v>
      </c>
      <c r="B39" s="107" t="s">
        <v>162</v>
      </c>
      <c r="C39" s="23" t="s">
        <v>97</v>
      </c>
      <c r="D39" s="23">
        <v>0.03</v>
      </c>
      <c r="E39" s="108" t="s">
        <v>102</v>
      </c>
      <c r="F39" s="82"/>
      <c r="G39" s="103">
        <v>67</v>
      </c>
      <c r="H39" s="103">
        <v>70</v>
      </c>
      <c r="I39" s="78">
        <v>72</v>
      </c>
      <c r="J39" s="78">
        <v>72</v>
      </c>
      <c r="K39" s="78">
        <v>72</v>
      </c>
      <c r="L39" s="78">
        <v>72</v>
      </c>
      <c r="M39" s="78">
        <v>72</v>
      </c>
      <c r="N39" s="78">
        <v>72</v>
      </c>
      <c r="O39" s="79"/>
    </row>
    <row r="40" spans="1:15" ht="31.5" x14ac:dyDescent="0.25">
      <c r="A40" s="104" t="s">
        <v>163</v>
      </c>
      <c r="B40" s="107" t="s">
        <v>164</v>
      </c>
      <c r="C40" s="21" t="s">
        <v>97</v>
      </c>
      <c r="D40" s="21">
        <v>0.03</v>
      </c>
      <c r="E40" s="76" t="s">
        <v>102</v>
      </c>
      <c r="F40" s="75" t="s">
        <v>127</v>
      </c>
      <c r="G40" s="93">
        <v>15</v>
      </c>
      <c r="H40" s="93">
        <v>15</v>
      </c>
      <c r="I40" s="105">
        <v>16.5</v>
      </c>
      <c r="J40" s="105">
        <v>18.3</v>
      </c>
      <c r="K40" s="105">
        <v>19.100000000000001</v>
      </c>
      <c r="L40" s="105">
        <v>19.5</v>
      </c>
      <c r="M40" s="105">
        <v>19.5</v>
      </c>
      <c r="N40" s="105">
        <v>19.5</v>
      </c>
      <c r="O40" s="106"/>
    </row>
    <row r="41" spans="1:15" s="57" customFormat="1" x14ac:dyDescent="0.25">
      <c r="A41" s="358" t="s">
        <v>165</v>
      </c>
      <c r="B41" s="358"/>
      <c r="C41" s="358"/>
      <c r="D41" s="358"/>
      <c r="E41" s="358"/>
      <c r="F41" s="358"/>
      <c r="G41" s="358"/>
      <c r="H41" s="358"/>
      <c r="I41" s="358"/>
      <c r="J41" s="358"/>
      <c r="K41" s="358"/>
      <c r="L41" s="358"/>
      <c r="M41" s="358"/>
      <c r="N41" s="358"/>
      <c r="O41" s="87"/>
    </row>
    <row r="42" spans="1:15" ht="63" x14ac:dyDescent="0.25">
      <c r="A42" s="104" t="s">
        <v>166</v>
      </c>
      <c r="B42" s="107" t="s">
        <v>167</v>
      </c>
      <c r="C42" s="21" t="s">
        <v>97</v>
      </c>
      <c r="D42" s="21">
        <v>0.03</v>
      </c>
      <c r="E42" s="76" t="s">
        <v>102</v>
      </c>
      <c r="F42" s="75">
        <v>78.400000000000006</v>
      </c>
      <c r="G42" s="105">
        <v>80.2</v>
      </c>
      <c r="H42" s="105">
        <v>80.400000000000006</v>
      </c>
      <c r="I42" s="105">
        <v>80.5</v>
      </c>
      <c r="J42" s="105">
        <v>80.5</v>
      </c>
      <c r="K42" s="105">
        <v>80.5</v>
      </c>
      <c r="L42" s="105">
        <v>80.5</v>
      </c>
      <c r="M42" s="105">
        <v>80.5</v>
      </c>
      <c r="N42" s="105">
        <v>80.5</v>
      </c>
      <c r="O42" s="106"/>
    </row>
    <row r="43" spans="1:15" s="57" customFormat="1" x14ac:dyDescent="0.25">
      <c r="A43" s="358" t="s">
        <v>168</v>
      </c>
      <c r="B43" s="358"/>
      <c r="C43" s="358"/>
      <c r="D43" s="358"/>
      <c r="E43" s="358"/>
      <c r="F43" s="358"/>
      <c r="G43" s="358"/>
      <c r="H43" s="358"/>
      <c r="I43" s="358"/>
      <c r="J43" s="358"/>
      <c r="K43" s="358"/>
      <c r="L43" s="358"/>
      <c r="M43" s="358"/>
      <c r="N43" s="358"/>
      <c r="O43" s="87"/>
    </row>
    <row r="44" spans="1:15" s="57" customFormat="1" x14ac:dyDescent="0.25">
      <c r="A44" s="358" t="s">
        <v>169</v>
      </c>
      <c r="B44" s="358"/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  <c r="O44" s="87"/>
    </row>
    <row r="45" spans="1:15" s="57" customFormat="1" x14ac:dyDescent="0.25">
      <c r="A45" s="358" t="s">
        <v>170</v>
      </c>
      <c r="B45" s="358"/>
      <c r="C45" s="358"/>
      <c r="D45" s="358"/>
      <c r="E45" s="358"/>
      <c r="F45" s="358"/>
      <c r="G45" s="358"/>
      <c r="H45" s="358"/>
      <c r="I45" s="358"/>
      <c r="J45" s="358"/>
      <c r="K45" s="358"/>
      <c r="L45" s="358"/>
      <c r="M45" s="358"/>
      <c r="N45" s="358"/>
      <c r="O45" s="87"/>
    </row>
    <row r="46" spans="1:15" ht="31.5" x14ac:dyDescent="0.25">
      <c r="A46" s="22" t="s">
        <v>171</v>
      </c>
      <c r="B46" s="74" t="s">
        <v>172</v>
      </c>
      <c r="C46" s="101" t="s">
        <v>97</v>
      </c>
      <c r="D46" s="21">
        <v>0.04</v>
      </c>
      <c r="E46" s="75" t="s">
        <v>102</v>
      </c>
      <c r="F46" s="84">
        <v>97.09</v>
      </c>
      <c r="G46" s="76">
        <v>82.9</v>
      </c>
      <c r="H46" s="76">
        <v>82.9</v>
      </c>
      <c r="I46" s="76">
        <v>93.2</v>
      </c>
      <c r="J46" s="76">
        <v>93.7</v>
      </c>
      <c r="K46" s="76">
        <v>94</v>
      </c>
      <c r="L46" s="76">
        <v>94</v>
      </c>
      <c r="M46" s="76">
        <v>94</v>
      </c>
      <c r="N46" s="76">
        <v>94</v>
      </c>
      <c r="O46" s="76">
        <v>94</v>
      </c>
    </row>
    <row r="47" spans="1:15" s="57" customFormat="1" x14ac:dyDescent="0.25">
      <c r="A47" s="358" t="s">
        <v>173</v>
      </c>
      <c r="B47" s="358"/>
      <c r="C47" s="358"/>
      <c r="D47" s="358"/>
      <c r="E47" s="358"/>
      <c r="F47" s="358"/>
      <c r="G47" s="358"/>
      <c r="H47" s="358"/>
      <c r="I47" s="358"/>
      <c r="J47" s="358"/>
      <c r="K47" s="358"/>
      <c r="L47" s="358"/>
      <c r="M47" s="358"/>
      <c r="N47" s="358"/>
      <c r="O47" s="87"/>
    </row>
    <row r="48" spans="1:15" ht="31.5" x14ac:dyDescent="0.25">
      <c r="A48" s="22" t="s">
        <v>174</v>
      </c>
      <c r="B48" s="109" t="s">
        <v>175</v>
      </c>
      <c r="C48" s="101" t="s">
        <v>97</v>
      </c>
      <c r="D48" s="21">
        <v>0.04</v>
      </c>
      <c r="E48" s="76" t="s">
        <v>102</v>
      </c>
      <c r="F48" s="110">
        <v>134</v>
      </c>
      <c r="G48" s="76">
        <v>73</v>
      </c>
      <c r="H48" s="76">
        <v>74</v>
      </c>
      <c r="I48" s="76">
        <v>89</v>
      </c>
      <c r="J48" s="76">
        <v>90</v>
      </c>
      <c r="K48" s="76">
        <v>92</v>
      </c>
      <c r="L48" s="76">
        <v>95</v>
      </c>
      <c r="M48" s="76">
        <v>95</v>
      </c>
      <c r="N48" s="76">
        <v>95</v>
      </c>
      <c r="O48" s="76">
        <v>95</v>
      </c>
    </row>
    <row r="49" spans="1:15" ht="47.25" x14ac:dyDescent="0.25">
      <c r="A49" s="22" t="s">
        <v>176</v>
      </c>
      <c r="B49" s="109" t="s">
        <v>177</v>
      </c>
      <c r="C49" s="101" t="s">
        <v>97</v>
      </c>
      <c r="D49" s="21">
        <v>0.04</v>
      </c>
      <c r="E49" s="75" t="s">
        <v>102</v>
      </c>
      <c r="F49" s="75">
        <v>15.6</v>
      </c>
      <c r="G49" s="76">
        <v>70</v>
      </c>
      <c r="H49" s="76">
        <v>70</v>
      </c>
      <c r="I49" s="76">
        <v>95</v>
      </c>
      <c r="J49" s="76">
        <v>97</v>
      </c>
      <c r="K49" s="76">
        <v>97</v>
      </c>
      <c r="L49" s="76">
        <v>98</v>
      </c>
      <c r="M49" s="76">
        <v>98</v>
      </c>
      <c r="N49" s="76">
        <v>98</v>
      </c>
      <c r="O49" s="76">
        <v>98</v>
      </c>
    </row>
    <row r="50" spans="1:15" s="57" customFormat="1" x14ac:dyDescent="0.25">
      <c r="A50" s="358" t="s">
        <v>178</v>
      </c>
      <c r="B50" s="358"/>
      <c r="C50" s="358"/>
      <c r="D50" s="358"/>
      <c r="E50" s="358"/>
      <c r="F50" s="358"/>
      <c r="G50" s="358"/>
      <c r="H50" s="358"/>
      <c r="I50" s="358"/>
      <c r="J50" s="358"/>
      <c r="K50" s="358"/>
      <c r="L50" s="358"/>
      <c r="M50" s="358"/>
      <c r="N50" s="358"/>
      <c r="O50" s="87"/>
    </row>
    <row r="51" spans="1:15" s="57" customFormat="1" x14ac:dyDescent="0.25">
      <c r="A51" s="358" t="s">
        <v>179</v>
      </c>
      <c r="B51" s="358"/>
      <c r="C51" s="358"/>
      <c r="D51" s="358"/>
      <c r="E51" s="358"/>
      <c r="F51" s="358"/>
      <c r="G51" s="358"/>
      <c r="H51" s="358"/>
      <c r="I51" s="358"/>
      <c r="J51" s="358"/>
      <c r="K51" s="358"/>
      <c r="L51" s="358"/>
      <c r="M51" s="358"/>
      <c r="N51" s="358"/>
      <c r="O51" s="87"/>
    </row>
    <row r="52" spans="1:15" s="57" customFormat="1" x14ac:dyDescent="0.25">
      <c r="A52" s="358" t="s">
        <v>180</v>
      </c>
      <c r="B52" s="358"/>
      <c r="C52" s="358"/>
      <c r="D52" s="358"/>
      <c r="E52" s="358"/>
      <c r="F52" s="358"/>
      <c r="G52" s="358"/>
      <c r="H52" s="358"/>
      <c r="I52" s="358"/>
      <c r="J52" s="358"/>
      <c r="K52" s="358"/>
      <c r="L52" s="358"/>
      <c r="M52" s="358"/>
      <c r="N52" s="358"/>
      <c r="O52" s="87"/>
    </row>
    <row r="53" spans="1:15" ht="31.5" x14ac:dyDescent="0.25">
      <c r="A53" s="111" t="s">
        <v>181</v>
      </c>
      <c r="B53" s="112" t="s">
        <v>182</v>
      </c>
      <c r="C53" s="113" t="s">
        <v>183</v>
      </c>
      <c r="D53" s="114">
        <v>0.03</v>
      </c>
      <c r="E53" s="115" t="s">
        <v>21</v>
      </c>
      <c r="F53" s="116"/>
      <c r="G53" s="117">
        <v>1460</v>
      </c>
      <c r="H53" s="117">
        <v>1470</v>
      </c>
      <c r="I53" s="113">
        <v>1470</v>
      </c>
      <c r="J53" s="113">
        <v>2863</v>
      </c>
      <c r="K53" s="113">
        <v>3174</v>
      </c>
      <c r="L53" s="113">
        <v>3205</v>
      </c>
      <c r="M53" s="118">
        <v>3199</v>
      </c>
      <c r="N53" s="118">
        <f t="shared" ref="N53:O55" si="0">M53</f>
        <v>3199</v>
      </c>
      <c r="O53" s="118">
        <f t="shared" si="0"/>
        <v>3199</v>
      </c>
    </row>
    <row r="54" spans="1:15" ht="31.5" x14ac:dyDescent="0.25">
      <c r="A54" s="113" t="s">
        <v>184</v>
      </c>
      <c r="B54" s="112" t="s">
        <v>185</v>
      </c>
      <c r="C54" s="113" t="s">
        <v>183</v>
      </c>
      <c r="D54" s="113">
        <v>0.01</v>
      </c>
      <c r="E54" s="115" t="s">
        <v>21</v>
      </c>
      <c r="F54" s="116"/>
      <c r="G54" s="117">
        <v>28870</v>
      </c>
      <c r="H54" s="117">
        <v>29600</v>
      </c>
      <c r="I54" s="113">
        <v>30690</v>
      </c>
      <c r="J54" s="113">
        <v>32180</v>
      </c>
      <c r="K54" s="113">
        <v>33390</v>
      </c>
      <c r="L54" s="113">
        <v>38561</v>
      </c>
      <c r="M54" s="119">
        <v>38561</v>
      </c>
      <c r="N54" s="119">
        <f t="shared" si="0"/>
        <v>38561</v>
      </c>
      <c r="O54" s="119">
        <f t="shared" si="0"/>
        <v>38561</v>
      </c>
    </row>
    <row r="55" spans="1:15" ht="63" x14ac:dyDescent="0.25">
      <c r="A55" s="111" t="s">
        <v>186</v>
      </c>
      <c r="B55" s="112" t="s">
        <v>187</v>
      </c>
      <c r="C55" s="113" t="s">
        <v>183</v>
      </c>
      <c r="D55" s="113">
        <v>0.01</v>
      </c>
      <c r="E55" s="115" t="s">
        <v>21</v>
      </c>
      <c r="F55" s="116"/>
      <c r="G55" s="117">
        <v>17972</v>
      </c>
      <c r="H55" s="117">
        <v>18638</v>
      </c>
      <c r="I55" s="113">
        <v>19328</v>
      </c>
      <c r="J55" s="113">
        <v>21911</v>
      </c>
      <c r="K55" s="113">
        <v>24405</v>
      </c>
      <c r="L55" s="113">
        <v>28687</v>
      </c>
      <c r="M55" s="119">
        <f>L55</f>
        <v>28687</v>
      </c>
      <c r="N55" s="119">
        <f t="shared" si="0"/>
        <v>28687</v>
      </c>
      <c r="O55" s="119">
        <f t="shared" si="0"/>
        <v>28687</v>
      </c>
    </row>
    <row r="56" spans="1:15" ht="31.5" x14ac:dyDescent="0.25">
      <c r="A56" s="22" t="s">
        <v>188</v>
      </c>
      <c r="B56" s="109" t="s">
        <v>189</v>
      </c>
      <c r="C56" s="75" t="s">
        <v>190</v>
      </c>
      <c r="D56" s="75">
        <v>0.02</v>
      </c>
      <c r="E56" s="120" t="s">
        <v>102</v>
      </c>
      <c r="F56" s="77"/>
      <c r="G56" s="5">
        <v>25.02</v>
      </c>
      <c r="H56" s="5">
        <v>25</v>
      </c>
      <c r="I56" s="75">
        <v>25</v>
      </c>
      <c r="J56" s="75">
        <v>23.9</v>
      </c>
      <c r="K56" s="75">
        <v>24</v>
      </c>
      <c r="L56" s="75">
        <v>24</v>
      </c>
      <c r="M56" s="75">
        <v>24</v>
      </c>
      <c r="N56" s="75">
        <v>24</v>
      </c>
      <c r="O56" s="75">
        <v>24</v>
      </c>
    </row>
    <row r="57" spans="1:15" ht="31.5" x14ac:dyDescent="0.25">
      <c r="A57" s="22" t="s">
        <v>191</v>
      </c>
      <c r="B57" s="109" t="s">
        <v>192</v>
      </c>
      <c r="C57" s="75" t="s">
        <v>190</v>
      </c>
      <c r="D57" s="75">
        <v>0.02</v>
      </c>
      <c r="E57" s="120" t="s">
        <v>102</v>
      </c>
      <c r="F57" s="77"/>
      <c r="G57" s="5">
        <v>18.82</v>
      </c>
      <c r="H57" s="5">
        <v>18.82</v>
      </c>
      <c r="I57" s="75">
        <v>18.8</v>
      </c>
      <c r="J57" s="75">
        <v>17</v>
      </c>
      <c r="K57" s="75">
        <v>17</v>
      </c>
      <c r="L57" s="75">
        <v>17</v>
      </c>
      <c r="M57" s="75">
        <v>17</v>
      </c>
      <c r="N57" s="75">
        <v>17</v>
      </c>
      <c r="O57" s="75">
        <v>17</v>
      </c>
    </row>
    <row r="58" spans="1:15" ht="78.75" x14ac:dyDescent="0.25">
      <c r="A58" s="75" t="s">
        <v>193</v>
      </c>
      <c r="B58" s="109" t="s">
        <v>194</v>
      </c>
      <c r="C58" s="75" t="s">
        <v>195</v>
      </c>
      <c r="D58" s="75">
        <v>0.02</v>
      </c>
      <c r="E58" s="120" t="s">
        <v>102</v>
      </c>
      <c r="F58" s="77"/>
      <c r="G58" s="5">
        <v>0.7</v>
      </c>
      <c r="H58" s="5">
        <v>0.7</v>
      </c>
      <c r="I58" s="75">
        <v>0.7</v>
      </c>
      <c r="J58" s="75">
        <v>0.7</v>
      </c>
      <c r="K58" s="75">
        <v>0.7</v>
      </c>
      <c r="L58" s="75">
        <v>0.7</v>
      </c>
      <c r="M58" s="75">
        <v>0.7</v>
      </c>
      <c r="N58" s="75">
        <v>0.7</v>
      </c>
      <c r="O58" s="75">
        <v>0.7</v>
      </c>
    </row>
    <row r="59" spans="1:15" ht="31.5" x14ac:dyDescent="0.25">
      <c r="A59" s="75" t="s">
        <v>196</v>
      </c>
      <c r="B59" s="109" t="s">
        <v>197</v>
      </c>
      <c r="C59" s="75" t="s">
        <v>132</v>
      </c>
      <c r="D59" s="75">
        <v>0.03</v>
      </c>
      <c r="E59" s="120" t="s">
        <v>21</v>
      </c>
      <c r="F59" s="77"/>
      <c r="G59" s="75">
        <v>18</v>
      </c>
      <c r="H59" s="75">
        <v>18</v>
      </c>
      <c r="I59" s="75">
        <v>18</v>
      </c>
      <c r="J59" s="75">
        <v>14</v>
      </c>
      <c r="K59" s="75">
        <v>14</v>
      </c>
      <c r="L59" s="75">
        <v>14</v>
      </c>
      <c r="M59" s="75">
        <v>14</v>
      </c>
      <c r="N59" s="75">
        <v>14</v>
      </c>
      <c r="O59" s="75">
        <v>14</v>
      </c>
    </row>
    <row r="60" spans="1:15" ht="66" customHeight="1" x14ac:dyDescent="0.25">
      <c r="A60" s="75" t="s">
        <v>198</v>
      </c>
      <c r="B60" s="109" t="s">
        <v>199</v>
      </c>
      <c r="C60" s="75" t="s">
        <v>200</v>
      </c>
      <c r="D60" s="75">
        <v>0.01</v>
      </c>
      <c r="E60" s="120" t="s">
        <v>201</v>
      </c>
      <c r="F60" s="77"/>
      <c r="G60" s="75">
        <v>5</v>
      </c>
      <c r="H60" s="75">
        <v>5</v>
      </c>
      <c r="I60" s="75">
        <v>5</v>
      </c>
      <c r="J60" s="75">
        <v>5</v>
      </c>
      <c r="K60" s="75">
        <v>5</v>
      </c>
      <c r="L60" s="75">
        <v>5</v>
      </c>
      <c r="M60" s="75">
        <v>5</v>
      </c>
      <c r="N60" s="75">
        <v>5</v>
      </c>
      <c r="O60" s="75">
        <v>5</v>
      </c>
    </row>
    <row r="61" spans="1:15" ht="47.25" x14ac:dyDescent="0.25">
      <c r="A61" s="75" t="s">
        <v>202</v>
      </c>
      <c r="B61" s="109" t="s">
        <v>203</v>
      </c>
      <c r="C61" s="75" t="s">
        <v>200</v>
      </c>
      <c r="D61" s="75">
        <v>0.01</v>
      </c>
      <c r="E61" s="120" t="s">
        <v>201</v>
      </c>
      <c r="F61" s="77"/>
      <c r="G61" s="21">
        <v>5</v>
      </c>
      <c r="H61" s="21">
        <v>5</v>
      </c>
      <c r="I61" s="21">
        <v>5</v>
      </c>
      <c r="J61" s="21">
        <v>5</v>
      </c>
      <c r="K61" s="21">
        <v>5</v>
      </c>
      <c r="L61" s="21">
        <v>5</v>
      </c>
      <c r="M61" s="21">
        <v>5</v>
      </c>
      <c r="N61" s="21">
        <v>5</v>
      </c>
      <c r="O61" s="21">
        <v>5</v>
      </c>
    </row>
    <row r="62" spans="1:15" ht="126" x14ac:dyDescent="0.25">
      <c r="A62" s="75" t="s">
        <v>204</v>
      </c>
      <c r="B62" s="109" t="s">
        <v>205</v>
      </c>
      <c r="C62" s="75" t="s">
        <v>200</v>
      </c>
      <c r="D62" s="75">
        <v>0.01</v>
      </c>
      <c r="E62" s="120" t="s">
        <v>201</v>
      </c>
      <c r="F62" s="77"/>
      <c r="G62" s="21">
        <v>5</v>
      </c>
      <c r="H62" s="21">
        <v>5</v>
      </c>
      <c r="I62" s="21">
        <v>5</v>
      </c>
      <c r="J62" s="21">
        <v>5</v>
      </c>
      <c r="K62" s="21">
        <v>5</v>
      </c>
      <c r="L62" s="21">
        <v>5</v>
      </c>
      <c r="M62" s="21">
        <v>5</v>
      </c>
      <c r="N62" s="21">
        <v>5</v>
      </c>
      <c r="O62" s="21">
        <v>5</v>
      </c>
    </row>
    <row r="63" spans="1:15" ht="94.5" x14ac:dyDescent="0.25">
      <c r="A63" s="75" t="s">
        <v>206</v>
      </c>
      <c r="B63" s="109" t="s">
        <v>207</v>
      </c>
      <c r="C63" s="75" t="s">
        <v>200</v>
      </c>
      <c r="D63" s="75">
        <v>0.01</v>
      </c>
      <c r="E63" s="120" t="s">
        <v>201</v>
      </c>
      <c r="F63" s="77"/>
      <c r="G63" s="21">
        <v>5</v>
      </c>
      <c r="H63" s="21">
        <v>5</v>
      </c>
      <c r="I63" s="21">
        <v>5</v>
      </c>
      <c r="J63" s="21">
        <v>5</v>
      </c>
      <c r="K63" s="21">
        <v>5</v>
      </c>
      <c r="L63" s="21">
        <v>5</v>
      </c>
      <c r="M63" s="21">
        <v>5</v>
      </c>
      <c r="N63" s="21">
        <v>5</v>
      </c>
      <c r="O63" s="21">
        <v>5</v>
      </c>
    </row>
    <row r="64" spans="1:15" ht="47.25" x14ac:dyDescent="0.25">
      <c r="A64" s="75" t="s">
        <v>208</v>
      </c>
      <c r="B64" s="121" t="s">
        <v>209</v>
      </c>
      <c r="C64" s="75" t="s">
        <v>200</v>
      </c>
      <c r="D64" s="75">
        <v>0.01</v>
      </c>
      <c r="E64" s="120" t="s">
        <v>201</v>
      </c>
      <c r="F64" s="77"/>
      <c r="G64" s="21">
        <v>5</v>
      </c>
      <c r="H64" s="21">
        <v>5</v>
      </c>
      <c r="I64" s="21">
        <v>5</v>
      </c>
      <c r="J64" s="21">
        <v>5</v>
      </c>
      <c r="K64" s="21">
        <v>5</v>
      </c>
      <c r="L64" s="21">
        <v>5</v>
      </c>
      <c r="M64" s="21">
        <v>5</v>
      </c>
      <c r="N64" s="21">
        <v>5</v>
      </c>
      <c r="O64" s="21">
        <v>5</v>
      </c>
    </row>
    <row r="65" spans="1:15" ht="47.25" x14ac:dyDescent="0.25">
      <c r="A65" s="75" t="s">
        <v>210</v>
      </c>
      <c r="B65" s="121" t="s">
        <v>211</v>
      </c>
      <c r="C65" s="75" t="s">
        <v>200</v>
      </c>
      <c r="D65" s="75">
        <v>0.01</v>
      </c>
      <c r="E65" s="120" t="s">
        <v>201</v>
      </c>
      <c r="F65" s="77"/>
      <c r="G65" s="21">
        <v>5</v>
      </c>
      <c r="H65" s="21">
        <v>5</v>
      </c>
      <c r="I65" s="21">
        <v>5</v>
      </c>
      <c r="J65" s="21">
        <v>5</v>
      </c>
      <c r="K65" s="21">
        <v>5</v>
      </c>
      <c r="L65" s="21">
        <v>5</v>
      </c>
      <c r="M65" s="21">
        <v>5</v>
      </c>
      <c r="N65" s="21">
        <v>5</v>
      </c>
      <c r="O65" s="21">
        <v>5</v>
      </c>
    </row>
    <row r="66" spans="1:15" ht="47.25" x14ac:dyDescent="0.25">
      <c r="A66" s="22" t="s">
        <v>212</v>
      </c>
      <c r="B66" s="109" t="s">
        <v>213</v>
      </c>
      <c r="C66" s="75" t="s">
        <v>200</v>
      </c>
      <c r="D66" s="75">
        <v>0.01</v>
      </c>
      <c r="E66" s="120" t="s">
        <v>201</v>
      </c>
      <c r="F66" s="77"/>
      <c r="G66" s="21">
        <v>5</v>
      </c>
      <c r="H66" s="21">
        <v>5</v>
      </c>
      <c r="I66" s="21">
        <v>5</v>
      </c>
      <c r="J66" s="21">
        <v>5</v>
      </c>
      <c r="K66" s="21">
        <v>5</v>
      </c>
      <c r="L66" s="21">
        <v>5</v>
      </c>
      <c r="M66" s="21">
        <v>5</v>
      </c>
      <c r="N66" s="21">
        <v>5</v>
      </c>
      <c r="O66" s="21">
        <v>5</v>
      </c>
    </row>
    <row r="67" spans="1:15" ht="47.25" x14ac:dyDescent="0.25">
      <c r="A67" s="22" t="s">
        <v>214</v>
      </c>
      <c r="B67" s="109" t="s">
        <v>215</v>
      </c>
      <c r="C67" s="75" t="s">
        <v>200</v>
      </c>
      <c r="D67" s="75">
        <v>0.01</v>
      </c>
      <c r="E67" s="120" t="s">
        <v>201</v>
      </c>
      <c r="F67" s="77"/>
      <c r="G67" s="21">
        <v>5</v>
      </c>
      <c r="H67" s="21">
        <v>5</v>
      </c>
      <c r="I67" s="21">
        <v>5</v>
      </c>
      <c r="J67" s="21">
        <v>5</v>
      </c>
      <c r="K67" s="21">
        <v>5</v>
      </c>
      <c r="L67" s="21">
        <v>5</v>
      </c>
      <c r="M67" s="21">
        <v>5</v>
      </c>
      <c r="N67" s="21">
        <v>5</v>
      </c>
      <c r="O67" s="21">
        <v>5</v>
      </c>
    </row>
    <row r="68" spans="1:15" ht="47.25" x14ac:dyDescent="0.25">
      <c r="A68" s="22" t="s">
        <v>216</v>
      </c>
      <c r="B68" s="109" t="s">
        <v>217</v>
      </c>
      <c r="C68" s="75" t="s">
        <v>200</v>
      </c>
      <c r="D68" s="75">
        <v>0.01</v>
      </c>
      <c r="E68" s="120" t="s">
        <v>201</v>
      </c>
      <c r="F68" s="77"/>
      <c r="G68" s="21">
        <v>5</v>
      </c>
      <c r="H68" s="21">
        <v>5</v>
      </c>
      <c r="I68" s="21">
        <v>5</v>
      </c>
      <c r="J68" s="21">
        <v>5</v>
      </c>
      <c r="K68" s="21">
        <v>5</v>
      </c>
      <c r="L68" s="21">
        <v>5</v>
      </c>
      <c r="M68" s="21">
        <v>5</v>
      </c>
      <c r="N68" s="21">
        <v>5</v>
      </c>
      <c r="O68" s="21">
        <v>5</v>
      </c>
    </row>
    <row r="69" spans="1:15" ht="47.25" x14ac:dyDescent="0.25">
      <c r="A69" s="22" t="s">
        <v>218</v>
      </c>
      <c r="B69" s="109" t="s">
        <v>219</v>
      </c>
      <c r="C69" s="75" t="s">
        <v>200</v>
      </c>
      <c r="D69" s="75">
        <v>0.01</v>
      </c>
      <c r="E69" s="120" t="s">
        <v>201</v>
      </c>
      <c r="F69" s="77"/>
      <c r="G69" s="21">
        <v>5</v>
      </c>
      <c r="H69" s="21">
        <v>5</v>
      </c>
      <c r="I69" s="21">
        <v>5</v>
      </c>
      <c r="J69" s="21">
        <v>5</v>
      </c>
      <c r="K69" s="21">
        <v>5</v>
      </c>
      <c r="L69" s="21">
        <v>5</v>
      </c>
      <c r="M69" s="21">
        <v>5</v>
      </c>
      <c r="N69" s="21">
        <v>5</v>
      </c>
      <c r="O69" s="21">
        <v>5</v>
      </c>
    </row>
    <row r="70" spans="1:15" ht="47.25" x14ac:dyDescent="0.25">
      <c r="A70" s="22" t="s">
        <v>220</v>
      </c>
      <c r="B70" s="109" t="s">
        <v>221</v>
      </c>
      <c r="C70" s="75" t="s">
        <v>200</v>
      </c>
      <c r="D70" s="75">
        <v>0.01</v>
      </c>
      <c r="E70" s="120" t="s">
        <v>201</v>
      </c>
      <c r="F70" s="77"/>
      <c r="G70" s="21">
        <v>5</v>
      </c>
      <c r="H70" s="21">
        <v>5</v>
      </c>
      <c r="I70" s="21">
        <v>5</v>
      </c>
      <c r="J70" s="21">
        <v>5</v>
      </c>
      <c r="K70" s="21">
        <v>5</v>
      </c>
      <c r="L70" s="21">
        <v>5</v>
      </c>
      <c r="M70" s="21">
        <v>5</v>
      </c>
      <c r="N70" s="21">
        <v>5</v>
      </c>
      <c r="O70" s="21">
        <v>5</v>
      </c>
    </row>
    <row r="71" spans="1:15" s="57" customFormat="1" x14ac:dyDescent="0.25">
      <c r="A71" s="358" t="s">
        <v>222</v>
      </c>
      <c r="B71" s="358"/>
      <c r="C71" s="358"/>
      <c r="D71" s="358"/>
      <c r="E71" s="358"/>
      <c r="F71" s="358"/>
      <c r="G71" s="358"/>
      <c r="H71" s="358"/>
      <c r="I71" s="358"/>
      <c r="J71" s="358"/>
      <c r="K71" s="358"/>
      <c r="L71" s="358"/>
      <c r="M71" s="358"/>
      <c r="N71" s="358"/>
      <c r="O71" s="87"/>
    </row>
    <row r="72" spans="1:15" s="124" customFormat="1" ht="47.25" x14ac:dyDescent="0.25">
      <c r="A72" s="122" t="s">
        <v>223</v>
      </c>
      <c r="B72" s="123" t="s">
        <v>224</v>
      </c>
      <c r="C72" s="23" t="s">
        <v>97</v>
      </c>
      <c r="D72" s="75">
        <v>0.03</v>
      </c>
      <c r="E72" s="75" t="s">
        <v>102</v>
      </c>
      <c r="F72" s="122"/>
      <c r="G72" s="6">
        <v>70</v>
      </c>
      <c r="H72" s="6">
        <v>70</v>
      </c>
      <c r="I72" s="6">
        <v>71</v>
      </c>
      <c r="J72" s="6">
        <v>71</v>
      </c>
      <c r="K72" s="6">
        <v>71</v>
      </c>
      <c r="L72" s="75">
        <v>71</v>
      </c>
      <c r="M72" s="75">
        <v>71</v>
      </c>
      <c r="N72" s="75">
        <v>71</v>
      </c>
      <c r="O72" s="75">
        <v>71</v>
      </c>
    </row>
    <row r="73" spans="1:15" s="124" customFormat="1" x14ac:dyDescent="0.25">
      <c r="A73" s="359" t="s">
        <v>225</v>
      </c>
      <c r="B73" s="360" t="s">
        <v>226</v>
      </c>
      <c r="C73" s="361" t="s">
        <v>227</v>
      </c>
      <c r="D73" s="355">
        <v>0.03</v>
      </c>
      <c r="E73" s="355" t="s">
        <v>102</v>
      </c>
      <c r="F73" s="122"/>
      <c r="G73" s="355" t="s">
        <v>228</v>
      </c>
      <c r="H73" s="355" t="s">
        <v>229</v>
      </c>
      <c r="I73" s="355" t="s">
        <v>230</v>
      </c>
      <c r="J73" s="355" t="s">
        <v>231</v>
      </c>
      <c r="K73" s="355" t="s">
        <v>232</v>
      </c>
      <c r="L73" s="355" t="s">
        <v>233</v>
      </c>
      <c r="M73" s="355" t="s">
        <v>234</v>
      </c>
      <c r="N73" s="355" t="s">
        <v>234</v>
      </c>
      <c r="O73" s="355" t="s">
        <v>234</v>
      </c>
    </row>
    <row r="74" spans="1:15" s="57" customFormat="1" x14ac:dyDescent="0.25">
      <c r="A74" s="359"/>
      <c r="B74" s="360"/>
      <c r="C74" s="361"/>
      <c r="D74" s="355"/>
      <c r="E74" s="355"/>
      <c r="F74" s="122"/>
      <c r="G74" s="355"/>
      <c r="H74" s="355"/>
      <c r="I74" s="355"/>
      <c r="J74" s="355"/>
      <c r="K74" s="355"/>
      <c r="L74" s="355"/>
      <c r="M74" s="355"/>
      <c r="N74" s="355"/>
      <c r="O74" s="355"/>
    </row>
    <row r="76" spans="1:15" x14ac:dyDescent="0.25">
      <c r="A76" s="356" t="s">
        <v>33</v>
      </c>
      <c r="B76" s="356"/>
      <c r="C76" s="356"/>
      <c r="D76" s="356"/>
      <c r="E76" s="356"/>
      <c r="F76" s="356"/>
      <c r="G76" s="356"/>
      <c r="H76" s="356"/>
      <c r="I76" s="356"/>
      <c r="J76" s="357" t="s">
        <v>34</v>
      </c>
      <c r="K76" s="357"/>
      <c r="L76" s="357"/>
      <c r="M76" s="357"/>
      <c r="N76" s="125"/>
      <c r="O76" s="125"/>
    </row>
  </sheetData>
  <mergeCells count="51"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  <mergeCell ref="A18:N18"/>
    <mergeCell ref="I3:I5"/>
    <mergeCell ref="J3:J5"/>
    <mergeCell ref="K3:K5"/>
    <mergeCell ref="L3:L5"/>
    <mergeCell ref="M3:M5"/>
    <mergeCell ref="N3:N5"/>
    <mergeCell ref="O3:O5"/>
    <mergeCell ref="A6:N6"/>
    <mergeCell ref="A11:N11"/>
    <mergeCell ref="A12:N12"/>
    <mergeCell ref="A13:N13"/>
    <mergeCell ref="A52:N52"/>
    <mergeCell ref="A19:N19"/>
    <mergeCell ref="A20:N20"/>
    <mergeCell ref="A26:N26"/>
    <mergeCell ref="A37:N37"/>
    <mergeCell ref="A41:N41"/>
    <mergeCell ref="A43:N43"/>
    <mergeCell ref="A44:N44"/>
    <mergeCell ref="A45:N45"/>
    <mergeCell ref="A47:N47"/>
    <mergeCell ref="A50:N50"/>
    <mergeCell ref="A51:N51"/>
    <mergeCell ref="A76:I76"/>
    <mergeCell ref="J76:M76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J73:J74"/>
    <mergeCell ref="K73:K74"/>
    <mergeCell ref="L73:L74"/>
    <mergeCell ref="M73:M74"/>
    <mergeCell ref="N73:N74"/>
    <mergeCell ref="O73:O74"/>
  </mergeCells>
  <pageMargins left="0.31496062992125984" right="0.11811023622047245" top="0.55118110236220474" bottom="0.19685039370078741" header="0.31496062992125984" footer="0.31496062992125984"/>
  <pageSetup paperSize="9" scale="62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O9" sqref="O9"/>
    </sheetView>
  </sheetViews>
  <sheetFormatPr defaultRowHeight="15.75" x14ac:dyDescent="0.25"/>
  <cols>
    <col min="1" max="1" width="5.140625" style="27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27"/>
      <c r="L1" s="127"/>
      <c r="M1" s="374" t="s">
        <v>235</v>
      </c>
      <c r="N1" s="374"/>
      <c r="O1" s="374"/>
      <c r="P1" s="374"/>
      <c r="Q1" s="374"/>
    </row>
    <row r="2" spans="1:17" ht="34.5" customHeight="1" x14ac:dyDescent="0.25">
      <c r="A2" s="375" t="s">
        <v>236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</row>
    <row r="3" spans="1:17" ht="17.25" customHeight="1" x14ac:dyDescent="0.25">
      <c r="A3" s="331" t="s">
        <v>89</v>
      </c>
      <c r="B3" s="331" t="s">
        <v>237</v>
      </c>
      <c r="C3" s="331" t="s">
        <v>91</v>
      </c>
      <c r="D3" s="321" t="s">
        <v>238</v>
      </c>
      <c r="E3" s="321" t="s">
        <v>94</v>
      </c>
      <c r="F3" s="321" t="s">
        <v>239</v>
      </c>
      <c r="G3" s="316" t="s">
        <v>240</v>
      </c>
      <c r="H3" s="322" t="s">
        <v>41</v>
      </c>
      <c r="I3" s="365" t="s">
        <v>241</v>
      </c>
      <c r="J3" s="366"/>
      <c r="K3" s="365" t="s">
        <v>242</v>
      </c>
      <c r="L3" s="367"/>
      <c r="M3" s="367"/>
      <c r="N3" s="367"/>
      <c r="O3" s="367"/>
      <c r="P3" s="367"/>
      <c r="Q3" s="366"/>
    </row>
    <row r="4" spans="1:17" ht="33" customHeight="1" x14ac:dyDescent="0.25">
      <c r="A4" s="331"/>
      <c r="B4" s="331"/>
      <c r="C4" s="331"/>
      <c r="D4" s="321"/>
      <c r="E4" s="321"/>
      <c r="F4" s="321"/>
      <c r="G4" s="335"/>
      <c r="H4" s="324"/>
      <c r="I4" s="5" t="s">
        <v>42</v>
      </c>
      <c r="J4" s="5" t="s">
        <v>43</v>
      </c>
      <c r="K4" s="5" t="s">
        <v>44</v>
      </c>
      <c r="L4" s="5" t="s">
        <v>45</v>
      </c>
      <c r="M4" s="5" t="s">
        <v>46</v>
      </c>
      <c r="N4" s="5" t="s">
        <v>47</v>
      </c>
      <c r="O4" s="5" t="s">
        <v>48</v>
      </c>
      <c r="P4" s="5" t="s">
        <v>49</v>
      </c>
      <c r="Q4" s="8" t="s">
        <v>243</v>
      </c>
    </row>
    <row r="5" spans="1:17" ht="55.15" customHeight="1" x14ac:dyDescent="0.25">
      <c r="A5" s="368" t="s">
        <v>95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O5" s="369"/>
      <c r="P5" s="369"/>
      <c r="Q5" s="370"/>
    </row>
    <row r="6" spans="1:17" ht="56.25" customHeight="1" x14ac:dyDescent="0.25">
      <c r="A6" s="5">
        <v>1</v>
      </c>
      <c r="B6" s="74" t="s">
        <v>96</v>
      </c>
      <c r="C6" s="21" t="s">
        <v>97</v>
      </c>
      <c r="D6" s="128">
        <v>54.1</v>
      </c>
      <c r="E6" s="84">
        <v>2.34</v>
      </c>
      <c r="F6" s="78">
        <v>94</v>
      </c>
      <c r="G6" s="78">
        <v>94.5</v>
      </c>
      <c r="H6" s="78">
        <v>95</v>
      </c>
      <c r="I6" s="78">
        <v>95</v>
      </c>
      <c r="J6" s="78">
        <v>96</v>
      </c>
      <c r="K6" s="78">
        <v>96.2</v>
      </c>
      <c r="L6" s="78">
        <v>96.3</v>
      </c>
      <c r="M6" s="78">
        <v>96.4</v>
      </c>
      <c r="N6" s="78">
        <v>96.4</v>
      </c>
      <c r="O6" s="78">
        <v>96.5</v>
      </c>
      <c r="P6" s="78">
        <v>96.5</v>
      </c>
      <c r="Q6" s="78">
        <v>96.6</v>
      </c>
    </row>
    <row r="7" spans="1:17" ht="108" customHeight="1" x14ac:dyDescent="0.25">
      <c r="A7" s="6">
        <v>2</v>
      </c>
      <c r="B7" s="74" t="s">
        <v>101</v>
      </c>
      <c r="C7" s="21" t="s">
        <v>97</v>
      </c>
      <c r="D7" s="75" t="e">
        <f>#REF!</f>
        <v>#REF!</v>
      </c>
      <c r="E7" s="84">
        <v>60.5</v>
      </c>
      <c r="F7" s="23">
        <v>82.4</v>
      </c>
      <c r="G7" s="23">
        <v>86.6</v>
      </c>
      <c r="H7" s="23">
        <v>91.3</v>
      </c>
      <c r="I7" s="23">
        <v>100</v>
      </c>
      <c r="J7" s="23">
        <v>100</v>
      </c>
      <c r="K7" s="23">
        <v>100</v>
      </c>
      <c r="L7" s="23">
        <v>100</v>
      </c>
      <c r="M7" s="23">
        <v>100</v>
      </c>
      <c r="N7" s="23">
        <v>100</v>
      </c>
      <c r="O7" s="23">
        <v>100</v>
      </c>
      <c r="P7" s="23">
        <v>100</v>
      </c>
      <c r="Q7" s="23">
        <v>100</v>
      </c>
    </row>
    <row r="8" spans="1:17" ht="89.25" customHeight="1" x14ac:dyDescent="0.25">
      <c r="A8" s="5">
        <v>3</v>
      </c>
      <c r="B8" s="81" t="s">
        <v>104</v>
      </c>
      <c r="C8" s="75" t="s">
        <v>97</v>
      </c>
      <c r="D8" s="129">
        <v>95.6</v>
      </c>
      <c r="E8" s="130">
        <v>96.7</v>
      </c>
      <c r="F8" s="82">
        <v>98.53</v>
      </c>
      <c r="G8" s="82">
        <v>98.04</v>
      </c>
      <c r="H8" s="82">
        <v>98.53</v>
      </c>
      <c r="I8" s="82">
        <v>98.6</v>
      </c>
      <c r="J8" s="82">
        <v>98.6</v>
      </c>
      <c r="K8" s="82">
        <v>100</v>
      </c>
      <c r="L8" s="82">
        <v>100</v>
      </c>
      <c r="M8" s="82">
        <v>100</v>
      </c>
      <c r="N8" s="82">
        <v>100</v>
      </c>
      <c r="O8" s="82">
        <v>100</v>
      </c>
      <c r="P8" s="82">
        <v>100</v>
      </c>
      <c r="Q8" s="82">
        <v>100</v>
      </c>
    </row>
    <row r="9" spans="1:17" ht="85.5" customHeight="1" x14ac:dyDescent="0.25">
      <c r="A9" s="5">
        <v>4</v>
      </c>
      <c r="B9" s="74" t="s">
        <v>106</v>
      </c>
      <c r="C9" s="21" t="s">
        <v>244</v>
      </c>
      <c r="D9" s="129"/>
      <c r="E9" s="130"/>
      <c r="F9" s="85">
        <v>67</v>
      </c>
      <c r="G9" s="85">
        <v>67</v>
      </c>
      <c r="H9" s="85">
        <v>67</v>
      </c>
      <c r="I9" s="85">
        <v>83</v>
      </c>
      <c r="J9" s="85">
        <v>83</v>
      </c>
      <c r="K9" s="85">
        <v>83</v>
      </c>
      <c r="L9" s="85">
        <v>83</v>
      </c>
      <c r="M9" s="85">
        <v>83</v>
      </c>
      <c r="N9" s="85">
        <v>100</v>
      </c>
      <c r="O9" s="85">
        <v>100</v>
      </c>
      <c r="P9" s="85">
        <v>100</v>
      </c>
      <c r="Q9" s="85">
        <v>100</v>
      </c>
    </row>
    <row r="10" spans="1:17" ht="35.25" customHeight="1" x14ac:dyDescent="0.25">
      <c r="A10" s="371" t="s">
        <v>33</v>
      </c>
      <c r="B10" s="371"/>
      <c r="C10" s="371"/>
      <c r="D10" s="371"/>
      <c r="E10" s="371"/>
      <c r="F10" s="131"/>
      <c r="G10" s="57"/>
      <c r="H10" s="57"/>
      <c r="I10" s="57"/>
      <c r="J10" s="57"/>
      <c r="K10" s="57"/>
      <c r="L10" s="57"/>
      <c r="M10" s="372" t="s">
        <v>34</v>
      </c>
      <c r="N10" s="372"/>
      <c r="O10" s="372"/>
      <c r="P10" s="372"/>
      <c r="Q10" s="373"/>
    </row>
    <row r="15" spans="1:17" x14ac:dyDescent="0.25">
      <c r="D15" s="132"/>
      <c r="E15" s="132"/>
      <c r="F15" s="133"/>
      <c r="G15" s="132"/>
    </row>
    <row r="16" spans="1:17" x14ac:dyDescent="0.25">
      <c r="D16" s="134"/>
      <c r="E16" s="135"/>
      <c r="F16" s="136"/>
      <c r="G16" s="135"/>
    </row>
    <row r="17" spans="4:7" x14ac:dyDescent="0.25">
      <c r="D17" s="137"/>
      <c r="E17" s="137"/>
      <c r="F17" s="138"/>
      <c r="G17" s="137"/>
    </row>
  </sheetData>
  <mergeCells count="15"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  <mergeCell ref="I3:J3"/>
    <mergeCell ref="K3:Q3"/>
    <mergeCell ref="A5:Q5"/>
    <mergeCell ref="A10:E10"/>
    <mergeCell ref="M10:Q10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L11" sqref="L11:M11"/>
    </sheetView>
  </sheetViews>
  <sheetFormatPr defaultRowHeight="15.75" x14ac:dyDescent="0.25"/>
  <cols>
    <col min="1" max="1" width="6.28515625" style="126" customWidth="1"/>
    <col min="2" max="2" width="79.140625" style="34" customWidth="1"/>
    <col min="3" max="3" width="12" style="34" customWidth="1"/>
    <col min="4" max="7" width="11.42578125" style="34" customWidth="1"/>
    <col min="8" max="10" width="11.42578125" style="57" customWidth="1"/>
    <col min="11" max="11" width="9.140625" style="57"/>
    <col min="12" max="16384" width="9.140625" style="34"/>
  </cols>
  <sheetData>
    <row r="1" spans="1:17" ht="51.75" customHeight="1" x14ac:dyDescent="0.25">
      <c r="A1" s="69"/>
      <c r="B1" s="70"/>
      <c r="C1" s="71"/>
      <c r="E1" s="362" t="s">
        <v>245</v>
      </c>
      <c r="F1" s="362"/>
      <c r="G1" s="362"/>
      <c r="H1" s="362"/>
      <c r="I1" s="362"/>
      <c r="J1" s="362"/>
    </row>
    <row r="2" spans="1:17" ht="37.5" customHeight="1" x14ac:dyDescent="0.25">
      <c r="A2" s="381" t="s">
        <v>246</v>
      </c>
      <c r="B2" s="381"/>
      <c r="C2" s="381"/>
      <c r="D2" s="381"/>
      <c r="E2" s="381"/>
      <c r="F2" s="381"/>
      <c r="G2" s="381"/>
      <c r="H2" s="381"/>
      <c r="I2" s="381"/>
      <c r="J2" s="381"/>
    </row>
    <row r="3" spans="1:17" ht="25.5" customHeight="1" x14ac:dyDescent="0.25">
      <c r="A3" s="382" t="s">
        <v>89</v>
      </c>
      <c r="B3" s="385" t="s">
        <v>247</v>
      </c>
      <c r="C3" s="385" t="s">
        <v>91</v>
      </c>
      <c r="D3" s="316" t="s">
        <v>93</v>
      </c>
      <c r="E3" s="316" t="s">
        <v>41</v>
      </c>
      <c r="F3" s="316" t="s">
        <v>42</v>
      </c>
      <c r="G3" s="316" t="s">
        <v>43</v>
      </c>
      <c r="H3" s="339" t="s">
        <v>44</v>
      </c>
      <c r="I3" s="339" t="s">
        <v>45</v>
      </c>
      <c r="J3" s="339" t="s">
        <v>46</v>
      </c>
      <c r="K3" s="339" t="s">
        <v>47</v>
      </c>
      <c r="L3" s="339" t="s">
        <v>48</v>
      </c>
      <c r="M3" s="339" t="s">
        <v>49</v>
      </c>
    </row>
    <row r="4" spans="1:17" ht="25.5" customHeight="1" x14ac:dyDescent="0.25">
      <c r="A4" s="383"/>
      <c r="B4" s="386"/>
      <c r="C4" s="386"/>
      <c r="D4" s="317"/>
      <c r="E4" s="388"/>
      <c r="F4" s="390"/>
      <c r="G4" s="317"/>
      <c r="H4" s="340"/>
      <c r="I4" s="340"/>
      <c r="J4" s="340"/>
      <c r="K4" s="340"/>
      <c r="L4" s="340"/>
      <c r="M4" s="340"/>
    </row>
    <row r="5" spans="1:17" ht="25.5" customHeight="1" x14ac:dyDescent="0.25">
      <c r="A5" s="384"/>
      <c r="B5" s="387"/>
      <c r="C5" s="387"/>
      <c r="D5" s="335"/>
      <c r="E5" s="389"/>
      <c r="F5" s="391"/>
      <c r="G5" s="335"/>
      <c r="H5" s="378"/>
      <c r="I5" s="378"/>
      <c r="J5" s="378"/>
      <c r="K5" s="378"/>
      <c r="L5" s="378"/>
      <c r="M5" s="378"/>
    </row>
    <row r="6" spans="1:17" ht="39.75" customHeight="1" x14ac:dyDescent="0.25">
      <c r="A6" s="379" t="s">
        <v>248</v>
      </c>
      <c r="B6" s="380"/>
      <c r="C6" s="380"/>
      <c r="D6" s="380"/>
      <c r="E6" s="380"/>
      <c r="F6" s="380"/>
      <c r="G6" s="380"/>
      <c r="H6" s="380"/>
      <c r="I6" s="380"/>
      <c r="J6" s="380"/>
      <c r="K6" s="380"/>
      <c r="L6" s="380"/>
    </row>
    <row r="7" spans="1:17" ht="33" customHeight="1" x14ac:dyDescent="0.25">
      <c r="A7" s="376" t="s">
        <v>249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</row>
    <row r="8" spans="1:17" ht="47.25" customHeight="1" x14ac:dyDescent="0.25">
      <c r="A8" s="139" t="s">
        <v>250</v>
      </c>
      <c r="B8" s="107" t="s">
        <v>111</v>
      </c>
      <c r="C8" s="23" t="s">
        <v>97</v>
      </c>
      <c r="D8" s="88" t="s">
        <v>112</v>
      </c>
      <c r="E8" s="140">
        <v>90.1</v>
      </c>
      <c r="F8" s="141">
        <v>97.5</v>
      </c>
      <c r="G8" s="62">
        <v>100</v>
      </c>
      <c r="H8" s="62">
        <v>100</v>
      </c>
      <c r="I8" s="62">
        <v>100</v>
      </c>
      <c r="J8" s="62">
        <v>100</v>
      </c>
      <c r="K8" s="62">
        <v>100</v>
      </c>
      <c r="L8" s="62">
        <v>100</v>
      </c>
      <c r="M8" s="62">
        <v>100</v>
      </c>
    </row>
    <row r="9" spans="1:17" ht="72.75" customHeight="1" x14ac:dyDescent="0.25">
      <c r="A9" s="139" t="s">
        <v>251</v>
      </c>
      <c r="B9" s="107" t="s">
        <v>114</v>
      </c>
      <c r="C9" s="23" t="s">
        <v>97</v>
      </c>
      <c r="D9" s="142" t="s">
        <v>112</v>
      </c>
      <c r="E9" s="6">
        <v>85</v>
      </c>
      <c r="F9" s="60">
        <v>97</v>
      </c>
      <c r="G9" s="143">
        <v>100</v>
      </c>
      <c r="H9" s="143">
        <v>100</v>
      </c>
      <c r="I9" s="143">
        <v>100</v>
      </c>
      <c r="J9" s="143">
        <v>100</v>
      </c>
      <c r="K9" s="143">
        <v>100</v>
      </c>
      <c r="L9" s="62">
        <v>100</v>
      </c>
      <c r="M9" s="62">
        <v>100</v>
      </c>
    </row>
    <row r="10" spans="1:17" ht="105" customHeight="1" x14ac:dyDescent="0.25">
      <c r="A10" s="139" t="s">
        <v>252</v>
      </c>
      <c r="B10" s="107" t="s">
        <v>253</v>
      </c>
      <c r="C10" s="23" t="s">
        <v>97</v>
      </c>
      <c r="D10" s="88" t="s">
        <v>112</v>
      </c>
      <c r="E10" s="144">
        <v>0</v>
      </c>
      <c r="F10" s="145">
        <v>0</v>
      </c>
      <c r="G10" s="62">
        <v>0</v>
      </c>
      <c r="H10" s="62">
        <v>100</v>
      </c>
      <c r="I10" s="62">
        <v>100</v>
      </c>
      <c r="J10" s="62">
        <v>100</v>
      </c>
      <c r="K10" s="62">
        <v>100</v>
      </c>
      <c r="L10" s="62">
        <v>100</v>
      </c>
      <c r="M10" s="62">
        <v>100</v>
      </c>
      <c r="N10" s="146"/>
      <c r="O10" s="146"/>
      <c r="P10" s="146"/>
      <c r="Q10" s="146"/>
    </row>
    <row r="11" spans="1:17" ht="118.5" customHeight="1" x14ac:dyDescent="0.25">
      <c r="A11" s="139" t="s">
        <v>254</v>
      </c>
      <c r="B11" s="147" t="s">
        <v>255</v>
      </c>
      <c r="C11" s="23" t="s">
        <v>97</v>
      </c>
      <c r="D11" s="88" t="s">
        <v>112</v>
      </c>
      <c r="E11" s="21" t="s">
        <v>120</v>
      </c>
      <c r="F11" s="62" t="s">
        <v>121</v>
      </c>
      <c r="G11" s="62">
        <v>0</v>
      </c>
      <c r="H11" s="62">
        <v>0</v>
      </c>
      <c r="I11" s="62" t="s">
        <v>121</v>
      </c>
      <c r="J11" s="62" t="s">
        <v>121</v>
      </c>
      <c r="K11" s="62" t="s">
        <v>121</v>
      </c>
      <c r="L11" s="62" t="s">
        <v>121</v>
      </c>
      <c r="M11" s="62" t="s">
        <v>121</v>
      </c>
      <c r="N11" s="146"/>
      <c r="O11" s="146"/>
      <c r="P11" s="146"/>
      <c r="Q11" s="146"/>
    </row>
    <row r="12" spans="1:17" ht="20.25" customHeight="1" x14ac:dyDescent="0.25">
      <c r="A12" s="148"/>
      <c r="B12" s="149"/>
      <c r="C12" s="73"/>
      <c r="D12" s="150"/>
      <c r="E12" s="150"/>
      <c r="F12" s="150"/>
      <c r="G12" s="150"/>
      <c r="H12" s="151"/>
      <c r="I12" s="151"/>
      <c r="J12" s="151"/>
    </row>
    <row r="13" spans="1:17" ht="26.25" customHeight="1" x14ac:dyDescent="0.25">
      <c r="A13" s="152" t="s">
        <v>33</v>
      </c>
      <c r="B13" s="152"/>
      <c r="C13" s="152"/>
      <c r="G13" s="54"/>
      <c r="H13" s="153" t="s">
        <v>256</v>
      </c>
      <c r="I13" s="153"/>
      <c r="J13" s="154"/>
    </row>
  </sheetData>
  <mergeCells count="17"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  <mergeCell ref="A7:L7"/>
    <mergeCell ref="I3:I5"/>
    <mergeCell ref="J3:J5"/>
    <mergeCell ref="K3:K5"/>
    <mergeCell ref="L3:L5"/>
  </mergeCells>
  <pageMargins left="0.51181102362204722" right="0.51181102362204722" top="0.55118110236220474" bottom="0.35433070866141736" header="0.31496062992125984" footer="0.31496062992125984"/>
  <pageSetup paperSize="9" scale="67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4"/>
  <sheetViews>
    <sheetView view="pageBreakPreview" zoomScale="98" zoomScaleNormal="98" zoomScaleSheetLayoutView="98" workbookViewId="0">
      <pane xSplit="3" ySplit="6" topLeftCell="O7" activePane="bottomRight" state="frozen"/>
      <selection activeCell="Q12" sqref="Q12"/>
      <selection pane="topRight" activeCell="Q12" sqref="Q12"/>
      <selection pane="bottomLeft" activeCell="Q12" sqref="Q12"/>
      <selection pane="bottomRight" activeCell="Q9" sqref="Q9"/>
    </sheetView>
  </sheetViews>
  <sheetFormatPr defaultColWidth="9.28515625" defaultRowHeight="15.75" x14ac:dyDescent="0.25"/>
  <cols>
    <col min="1" max="1" width="8.42578125" style="188" customWidth="1"/>
    <col min="2" max="2" width="60.7109375" style="34" customWidth="1"/>
    <col min="3" max="3" width="21.7109375" style="189" customWidth="1"/>
    <col min="4" max="5" width="9.28515625" style="189"/>
    <col min="6" max="6" width="13.85546875" style="189" bestFit="1" customWidth="1"/>
    <col min="7" max="7" width="9.28515625" style="189"/>
    <col min="8" max="8" width="14.28515625" style="189" customWidth="1"/>
    <col min="9" max="10" width="17.7109375" style="34" customWidth="1"/>
    <col min="11" max="16" width="18.28515625" style="34" customWidth="1"/>
    <col min="17" max="17" width="17.7109375" style="34" customWidth="1"/>
    <col min="18" max="18" width="55.5703125" style="34" customWidth="1"/>
    <col min="19" max="19" width="12" style="34" customWidth="1"/>
    <col min="20" max="20" width="15.42578125" style="34" customWidth="1"/>
    <col min="21" max="21" width="21.28515625" style="34" customWidth="1"/>
    <col min="22" max="16384" width="9.28515625" style="34"/>
  </cols>
  <sheetData>
    <row r="1" spans="1:21" s="133" customFormat="1" ht="75" customHeight="1" x14ac:dyDescent="0.25">
      <c r="A1" s="155"/>
      <c r="B1" s="156"/>
      <c r="C1" s="157"/>
      <c r="D1" s="157"/>
      <c r="E1" s="157"/>
      <c r="F1" s="157"/>
      <c r="G1" s="157"/>
      <c r="H1" s="157"/>
      <c r="I1" s="431"/>
      <c r="J1" s="431"/>
      <c r="Q1" s="432" t="s">
        <v>257</v>
      </c>
      <c r="R1" s="432"/>
      <c r="S1" s="158"/>
      <c r="T1" s="158"/>
      <c r="U1" s="158"/>
    </row>
    <row r="2" spans="1:21" s="133" customFormat="1" ht="23.25" customHeight="1" x14ac:dyDescent="0.25">
      <c r="A2" s="433" t="s">
        <v>258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</row>
    <row r="3" spans="1:21" s="133" customFormat="1" ht="24.75" customHeight="1" x14ac:dyDescent="0.25">
      <c r="A3" s="321" t="s">
        <v>89</v>
      </c>
      <c r="B3" s="321" t="s">
        <v>259</v>
      </c>
      <c r="C3" s="321" t="s">
        <v>7</v>
      </c>
      <c r="D3" s="321" t="s">
        <v>5</v>
      </c>
      <c r="E3" s="321"/>
      <c r="F3" s="321"/>
      <c r="G3" s="321"/>
      <c r="H3" s="6"/>
      <c r="I3" s="321" t="s">
        <v>6</v>
      </c>
      <c r="J3" s="321"/>
      <c r="K3" s="321"/>
      <c r="L3" s="321"/>
      <c r="M3" s="321"/>
      <c r="N3" s="321"/>
      <c r="O3" s="321"/>
      <c r="P3" s="321"/>
      <c r="Q3" s="321"/>
      <c r="R3" s="321" t="s">
        <v>260</v>
      </c>
    </row>
    <row r="4" spans="1:21" s="133" customFormat="1" ht="42" customHeight="1" x14ac:dyDescent="0.25">
      <c r="A4" s="321"/>
      <c r="B4" s="321"/>
      <c r="C4" s="321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6">
        <v>2020</v>
      </c>
      <c r="O4" s="6">
        <v>2021</v>
      </c>
      <c r="P4" s="6">
        <v>2022</v>
      </c>
      <c r="Q4" s="6" t="s">
        <v>11</v>
      </c>
      <c r="R4" s="321"/>
    </row>
    <row r="5" spans="1:21" ht="26.25" customHeight="1" x14ac:dyDescent="0.25">
      <c r="A5" s="328" t="s">
        <v>248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</row>
    <row r="6" spans="1:21" ht="24" customHeight="1" x14ac:dyDescent="0.25">
      <c r="A6" s="423" t="s">
        <v>249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</row>
    <row r="7" spans="1:21" ht="24.95" customHeight="1" x14ac:dyDescent="0.25">
      <c r="A7" s="424" t="s">
        <v>110</v>
      </c>
      <c r="B7" s="427" t="s">
        <v>261</v>
      </c>
      <c r="C7" s="424" t="s">
        <v>262</v>
      </c>
      <c r="D7" s="159" t="s">
        <v>18</v>
      </c>
      <c r="E7" s="159" t="s">
        <v>263</v>
      </c>
      <c r="F7" s="159" t="s">
        <v>264</v>
      </c>
      <c r="G7" s="159" t="s">
        <v>265</v>
      </c>
      <c r="H7" s="160">
        <v>69765.3</v>
      </c>
      <c r="I7" s="160">
        <v>78566.5</v>
      </c>
      <c r="J7" s="160">
        <v>53980.2</v>
      </c>
      <c r="K7" s="161">
        <v>48275.5</v>
      </c>
      <c r="L7" s="161">
        <v>47527.3</v>
      </c>
      <c r="M7" s="161">
        <v>50883.5</v>
      </c>
      <c r="N7" s="161">
        <v>45227.199999999997</v>
      </c>
      <c r="O7" s="161">
        <v>45258.3</v>
      </c>
      <c r="P7" s="161">
        <f>O7</f>
        <v>45258.3</v>
      </c>
      <c r="Q7" s="161">
        <f>SUM(H7:P7)</f>
        <v>484742.1</v>
      </c>
      <c r="R7" s="316" t="s">
        <v>266</v>
      </c>
    </row>
    <row r="8" spans="1:21" ht="24.95" customHeight="1" x14ac:dyDescent="0.25">
      <c r="A8" s="425"/>
      <c r="B8" s="428"/>
      <c r="C8" s="425"/>
      <c r="D8" s="159" t="s">
        <v>18</v>
      </c>
      <c r="E8" s="159" t="s">
        <v>263</v>
      </c>
      <c r="F8" s="159" t="s">
        <v>264</v>
      </c>
      <c r="G8" s="159" t="s">
        <v>267</v>
      </c>
      <c r="H8" s="160">
        <v>2247.3000000000002</v>
      </c>
      <c r="I8" s="160">
        <v>6941.5</v>
      </c>
      <c r="J8" s="160">
        <v>7305.1</v>
      </c>
      <c r="K8" s="161">
        <v>3060.4</v>
      </c>
      <c r="L8" s="161">
        <v>788.7</v>
      </c>
      <c r="M8" s="161">
        <v>2751.6</v>
      </c>
      <c r="N8" s="161">
        <v>230</v>
      </c>
      <c r="O8" s="161">
        <v>230</v>
      </c>
      <c r="P8" s="161">
        <v>230</v>
      </c>
      <c r="Q8" s="161">
        <f t="shared" ref="Q8:Q54" si="0">SUM(H8:P8)</f>
        <v>23784.600000000002</v>
      </c>
      <c r="R8" s="317"/>
    </row>
    <row r="9" spans="1:21" ht="24.95" customHeight="1" x14ac:dyDescent="0.25">
      <c r="A9" s="425"/>
      <c r="B9" s="428"/>
      <c r="C9" s="425"/>
      <c r="D9" s="159" t="s">
        <v>18</v>
      </c>
      <c r="E9" s="159" t="s">
        <v>263</v>
      </c>
      <c r="F9" s="159" t="s">
        <v>264</v>
      </c>
      <c r="G9" s="159" t="s">
        <v>268</v>
      </c>
      <c r="H9" s="160">
        <v>11537</v>
      </c>
      <c r="I9" s="160">
        <v>12269.9</v>
      </c>
      <c r="J9" s="160">
        <v>8827.4</v>
      </c>
      <c r="K9" s="161">
        <v>7585.8</v>
      </c>
      <c r="L9" s="161">
        <v>7298.7</v>
      </c>
      <c r="M9" s="161">
        <v>7606.8</v>
      </c>
      <c r="N9" s="161">
        <v>7356.7</v>
      </c>
      <c r="O9" s="161">
        <v>7008.7</v>
      </c>
      <c r="P9" s="161">
        <v>7008.7</v>
      </c>
      <c r="Q9" s="161">
        <f t="shared" si="0"/>
        <v>76499.7</v>
      </c>
      <c r="R9" s="317"/>
    </row>
    <row r="10" spans="1:21" ht="24.95" customHeight="1" x14ac:dyDescent="0.25">
      <c r="A10" s="425"/>
      <c r="B10" s="428"/>
      <c r="C10" s="425"/>
      <c r="D10" s="159" t="s">
        <v>18</v>
      </c>
      <c r="E10" s="159" t="s">
        <v>263</v>
      </c>
      <c r="F10" s="159" t="s">
        <v>264</v>
      </c>
      <c r="G10" s="159" t="s">
        <v>269</v>
      </c>
      <c r="H10" s="160">
        <v>180</v>
      </c>
      <c r="I10" s="160">
        <v>1248.0999999999999</v>
      </c>
      <c r="J10" s="160">
        <v>101.9</v>
      </c>
      <c r="K10" s="161">
        <v>10</v>
      </c>
      <c r="L10" s="161"/>
      <c r="M10" s="161"/>
      <c r="N10" s="161"/>
      <c r="O10" s="161"/>
      <c r="P10" s="161">
        <f t="shared" ref="P10:P54" si="1">O10</f>
        <v>0</v>
      </c>
      <c r="Q10" s="161">
        <f t="shared" si="0"/>
        <v>1540</v>
      </c>
      <c r="R10" s="317"/>
    </row>
    <row r="11" spans="1:21" ht="24.95" customHeight="1" x14ac:dyDescent="0.25">
      <c r="A11" s="425"/>
      <c r="B11" s="428"/>
      <c r="C11" s="425"/>
      <c r="D11" s="159" t="s">
        <v>18</v>
      </c>
      <c r="E11" s="159" t="s">
        <v>263</v>
      </c>
      <c r="F11" s="159" t="s">
        <v>270</v>
      </c>
      <c r="G11" s="159" t="s">
        <v>265</v>
      </c>
      <c r="H11" s="160">
        <v>5961.4</v>
      </c>
      <c r="I11" s="160">
        <v>10099.9</v>
      </c>
      <c r="J11" s="160">
        <v>13561.6</v>
      </c>
      <c r="K11" s="161">
        <v>14858.8</v>
      </c>
      <c r="L11" s="161">
        <v>19814.900000000001</v>
      </c>
      <c r="M11" s="161">
        <v>33192.5</v>
      </c>
      <c r="N11" s="161">
        <v>31250.1</v>
      </c>
      <c r="O11" s="161">
        <v>31250.1</v>
      </c>
      <c r="P11" s="161">
        <v>31250.1</v>
      </c>
      <c r="Q11" s="161">
        <f t="shared" si="0"/>
        <v>191239.40000000002</v>
      </c>
      <c r="R11" s="317"/>
    </row>
    <row r="12" spans="1:21" ht="24.95" customHeight="1" x14ac:dyDescent="0.25">
      <c r="A12" s="425"/>
      <c r="B12" s="428"/>
      <c r="C12" s="425"/>
      <c r="D12" s="159" t="s">
        <v>18</v>
      </c>
      <c r="E12" s="159" t="s">
        <v>263</v>
      </c>
      <c r="F12" s="159" t="s">
        <v>270</v>
      </c>
      <c r="G12" s="159" t="s">
        <v>268</v>
      </c>
      <c r="H12" s="160">
        <v>1142</v>
      </c>
      <c r="I12" s="160">
        <v>1752.1</v>
      </c>
      <c r="J12" s="160">
        <v>2506</v>
      </c>
      <c r="K12" s="161">
        <v>2673.8</v>
      </c>
      <c r="L12" s="161">
        <v>3359.1</v>
      </c>
      <c r="M12" s="161">
        <v>5005.5</v>
      </c>
      <c r="N12" s="161">
        <v>4731.2</v>
      </c>
      <c r="O12" s="161">
        <v>5084.3</v>
      </c>
      <c r="P12" s="161">
        <v>5084.3</v>
      </c>
      <c r="Q12" s="161">
        <f t="shared" si="0"/>
        <v>31338.3</v>
      </c>
      <c r="R12" s="317"/>
    </row>
    <row r="13" spans="1:21" ht="24.95" customHeight="1" x14ac:dyDescent="0.25">
      <c r="A13" s="425"/>
      <c r="B13" s="428"/>
      <c r="C13" s="425"/>
      <c r="D13" s="162" t="s">
        <v>18</v>
      </c>
      <c r="E13" s="162" t="s">
        <v>263</v>
      </c>
      <c r="F13" s="159" t="s">
        <v>271</v>
      </c>
      <c r="G13" s="159" t="s">
        <v>267</v>
      </c>
      <c r="H13" s="161"/>
      <c r="I13" s="161"/>
      <c r="J13" s="161"/>
      <c r="K13" s="161"/>
      <c r="L13" s="161">
        <v>0</v>
      </c>
      <c r="M13" s="161">
        <v>50</v>
      </c>
      <c r="N13" s="161">
        <v>0</v>
      </c>
      <c r="O13" s="161">
        <v>0</v>
      </c>
      <c r="P13" s="161">
        <v>0</v>
      </c>
      <c r="Q13" s="161">
        <f t="shared" si="0"/>
        <v>50</v>
      </c>
      <c r="R13" s="317"/>
    </row>
    <row r="14" spans="1:21" ht="24.95" customHeight="1" x14ac:dyDescent="0.25">
      <c r="A14" s="425"/>
      <c r="B14" s="428"/>
      <c r="C14" s="425"/>
      <c r="D14" s="162" t="s">
        <v>18</v>
      </c>
      <c r="E14" s="162" t="s">
        <v>263</v>
      </c>
      <c r="F14" s="159" t="s">
        <v>271</v>
      </c>
      <c r="G14" s="159" t="s">
        <v>267</v>
      </c>
      <c r="H14" s="161">
        <v>0</v>
      </c>
      <c r="I14" s="161">
        <v>0</v>
      </c>
      <c r="J14" s="161">
        <v>2</v>
      </c>
      <c r="K14" s="161">
        <v>0</v>
      </c>
      <c r="L14" s="161">
        <v>0</v>
      </c>
      <c r="M14" s="161">
        <v>1000</v>
      </c>
      <c r="N14" s="161">
        <v>0</v>
      </c>
      <c r="O14" s="161">
        <v>0</v>
      </c>
      <c r="P14" s="161">
        <f t="shared" si="1"/>
        <v>0</v>
      </c>
      <c r="Q14" s="161">
        <f t="shared" si="0"/>
        <v>1002</v>
      </c>
      <c r="R14" s="317"/>
    </row>
    <row r="15" spans="1:21" ht="24.95" customHeight="1" x14ac:dyDescent="0.25">
      <c r="A15" s="425"/>
      <c r="B15" s="429"/>
      <c r="C15" s="426"/>
      <c r="D15" s="159" t="s">
        <v>18</v>
      </c>
      <c r="E15" s="159" t="s">
        <v>263</v>
      </c>
      <c r="F15" s="159" t="s">
        <v>272</v>
      </c>
      <c r="G15" s="159" t="s">
        <v>269</v>
      </c>
      <c r="H15" s="161">
        <v>0</v>
      </c>
      <c r="I15" s="161">
        <v>0</v>
      </c>
      <c r="J15" s="161">
        <v>0</v>
      </c>
      <c r="K15" s="161">
        <v>1</v>
      </c>
      <c r="L15" s="161">
        <v>0</v>
      </c>
      <c r="M15" s="161">
        <v>0</v>
      </c>
      <c r="N15" s="161">
        <v>0</v>
      </c>
      <c r="O15" s="161">
        <v>0</v>
      </c>
      <c r="P15" s="161">
        <f t="shared" si="1"/>
        <v>0</v>
      </c>
      <c r="Q15" s="161">
        <f t="shared" si="0"/>
        <v>1</v>
      </c>
      <c r="R15" s="317"/>
    </row>
    <row r="16" spans="1:21" ht="24.95" customHeight="1" x14ac:dyDescent="0.25">
      <c r="A16" s="425"/>
      <c r="B16" s="414" t="s">
        <v>273</v>
      </c>
      <c r="C16" s="339" t="s">
        <v>262</v>
      </c>
      <c r="D16" s="159" t="s">
        <v>274</v>
      </c>
      <c r="E16" s="159" t="s">
        <v>263</v>
      </c>
      <c r="F16" s="159" t="s">
        <v>275</v>
      </c>
      <c r="G16" s="159" t="s">
        <v>267</v>
      </c>
      <c r="H16" s="161">
        <v>0</v>
      </c>
      <c r="I16" s="161">
        <v>0</v>
      </c>
      <c r="J16" s="161">
        <v>141</v>
      </c>
      <c r="K16" s="161">
        <v>0</v>
      </c>
      <c r="L16" s="161">
        <v>0</v>
      </c>
      <c r="M16" s="161">
        <v>0</v>
      </c>
      <c r="N16" s="161">
        <v>0</v>
      </c>
      <c r="O16" s="161">
        <v>0</v>
      </c>
      <c r="P16" s="161">
        <f t="shared" si="1"/>
        <v>0</v>
      </c>
      <c r="Q16" s="161">
        <f t="shared" si="0"/>
        <v>141</v>
      </c>
      <c r="R16" s="317"/>
    </row>
    <row r="17" spans="1:18" ht="24.95" customHeight="1" x14ac:dyDescent="0.25">
      <c r="A17" s="425"/>
      <c r="B17" s="430"/>
      <c r="C17" s="340"/>
      <c r="D17" s="159" t="s">
        <v>274</v>
      </c>
      <c r="E17" s="159" t="s">
        <v>263</v>
      </c>
      <c r="F17" s="159" t="s">
        <v>275</v>
      </c>
      <c r="G17" s="159" t="s">
        <v>269</v>
      </c>
      <c r="H17" s="161">
        <v>0</v>
      </c>
      <c r="I17" s="161">
        <v>0</v>
      </c>
      <c r="J17" s="161">
        <v>0</v>
      </c>
      <c r="K17" s="161">
        <v>70.5</v>
      </c>
      <c r="L17" s="161">
        <v>0</v>
      </c>
      <c r="M17" s="161">
        <v>0</v>
      </c>
      <c r="N17" s="161">
        <v>0</v>
      </c>
      <c r="O17" s="161">
        <v>0</v>
      </c>
      <c r="P17" s="161">
        <f t="shared" si="1"/>
        <v>0</v>
      </c>
      <c r="Q17" s="161">
        <f t="shared" si="0"/>
        <v>70.5</v>
      </c>
      <c r="R17" s="317"/>
    </row>
    <row r="18" spans="1:18" ht="24.95" customHeight="1" x14ac:dyDescent="0.25">
      <c r="A18" s="425"/>
      <c r="B18" s="430"/>
      <c r="C18" s="340"/>
      <c r="D18" s="163" t="s">
        <v>18</v>
      </c>
      <c r="E18" s="163" t="s">
        <v>263</v>
      </c>
      <c r="F18" s="163" t="s">
        <v>276</v>
      </c>
      <c r="G18" s="163" t="s">
        <v>265</v>
      </c>
      <c r="H18" s="164">
        <v>55471</v>
      </c>
      <c r="I18" s="164">
        <v>64558.6</v>
      </c>
      <c r="J18" s="164">
        <v>62740.3</v>
      </c>
      <c r="K18" s="165">
        <v>67910</v>
      </c>
      <c r="L18" s="165">
        <v>69926.5</v>
      </c>
      <c r="M18" s="165">
        <v>80492.399999999994</v>
      </c>
      <c r="N18" s="165">
        <v>90854.5</v>
      </c>
      <c r="O18" s="165">
        <v>89981.2</v>
      </c>
      <c r="P18" s="165">
        <v>89981.2</v>
      </c>
      <c r="Q18" s="161">
        <f t="shared" si="0"/>
        <v>671915.7</v>
      </c>
      <c r="R18" s="317"/>
    </row>
    <row r="19" spans="1:18" ht="24.95" customHeight="1" x14ac:dyDescent="0.25">
      <c r="A19" s="425"/>
      <c r="B19" s="430"/>
      <c r="C19" s="340"/>
      <c r="D19" s="163" t="s">
        <v>18</v>
      </c>
      <c r="E19" s="163" t="s">
        <v>263</v>
      </c>
      <c r="F19" s="163" t="s">
        <v>276</v>
      </c>
      <c r="G19" s="163" t="s">
        <v>267</v>
      </c>
      <c r="H19" s="164">
        <v>216.4</v>
      </c>
      <c r="I19" s="164">
        <v>268.39999999999998</v>
      </c>
      <c r="J19" s="164">
        <v>343.4</v>
      </c>
      <c r="K19" s="165">
        <v>380.2</v>
      </c>
      <c r="L19" s="165">
        <v>337</v>
      </c>
      <c r="M19" s="165">
        <v>341</v>
      </c>
      <c r="N19" s="165">
        <v>0</v>
      </c>
      <c r="O19" s="165">
        <v>0</v>
      </c>
      <c r="P19" s="161">
        <v>0</v>
      </c>
      <c r="Q19" s="161">
        <f t="shared" si="0"/>
        <v>1886.3999999999999</v>
      </c>
      <c r="R19" s="317"/>
    </row>
    <row r="20" spans="1:18" ht="24.95" customHeight="1" x14ac:dyDescent="0.25">
      <c r="A20" s="425"/>
      <c r="B20" s="430"/>
      <c r="C20" s="340"/>
      <c r="D20" s="163" t="s">
        <v>18</v>
      </c>
      <c r="E20" s="163" t="s">
        <v>263</v>
      </c>
      <c r="F20" s="163" t="s">
        <v>276</v>
      </c>
      <c r="G20" s="163" t="s">
        <v>268</v>
      </c>
      <c r="H20" s="164">
        <v>8073.9</v>
      </c>
      <c r="I20" s="164">
        <v>9286.4</v>
      </c>
      <c r="J20" s="164">
        <v>9020.2999999999993</v>
      </c>
      <c r="K20" s="165">
        <v>9425.2000000000007</v>
      </c>
      <c r="L20" s="165">
        <v>10547.1</v>
      </c>
      <c r="M20" s="165">
        <v>12198.3</v>
      </c>
      <c r="N20" s="165">
        <v>15517.3</v>
      </c>
      <c r="O20" s="165">
        <v>14950.4</v>
      </c>
      <c r="P20" s="165">
        <v>14950.4</v>
      </c>
      <c r="Q20" s="161">
        <f t="shared" si="0"/>
        <v>103969.29999999999</v>
      </c>
      <c r="R20" s="317"/>
    </row>
    <row r="21" spans="1:18" ht="24.95" customHeight="1" x14ac:dyDescent="0.25">
      <c r="A21" s="425"/>
      <c r="B21" s="430"/>
      <c r="C21" s="340"/>
      <c r="D21" s="163" t="s">
        <v>18</v>
      </c>
      <c r="E21" s="163" t="s">
        <v>263</v>
      </c>
      <c r="F21" s="163" t="s">
        <v>276</v>
      </c>
      <c r="G21" s="163" t="s">
        <v>277</v>
      </c>
      <c r="H21" s="164"/>
      <c r="I21" s="164"/>
      <c r="J21" s="164"/>
      <c r="K21" s="165">
        <v>0</v>
      </c>
      <c r="L21" s="165"/>
      <c r="M21" s="165"/>
      <c r="N21" s="165">
        <v>33</v>
      </c>
      <c r="O21" s="165"/>
      <c r="P21" s="161">
        <f t="shared" si="1"/>
        <v>0</v>
      </c>
      <c r="Q21" s="161">
        <f t="shared" si="0"/>
        <v>33</v>
      </c>
      <c r="R21" s="317"/>
    </row>
    <row r="22" spans="1:18" ht="24.95" customHeight="1" x14ac:dyDescent="0.25">
      <c r="A22" s="425"/>
      <c r="B22" s="430"/>
      <c r="C22" s="340"/>
      <c r="D22" s="163" t="s">
        <v>18</v>
      </c>
      <c r="E22" s="163" t="s">
        <v>263</v>
      </c>
      <c r="F22" s="163" t="s">
        <v>276</v>
      </c>
      <c r="G22" s="163" t="s">
        <v>267</v>
      </c>
      <c r="H22" s="164">
        <v>3478.6</v>
      </c>
      <c r="I22" s="164">
        <v>3595.8</v>
      </c>
      <c r="J22" s="164"/>
      <c r="K22" s="165">
        <v>0</v>
      </c>
      <c r="L22" s="165"/>
      <c r="M22" s="165"/>
      <c r="N22" s="165"/>
      <c r="O22" s="165"/>
      <c r="P22" s="161">
        <f t="shared" si="1"/>
        <v>0</v>
      </c>
      <c r="Q22" s="161">
        <f t="shared" si="0"/>
        <v>7074.4</v>
      </c>
      <c r="R22" s="317"/>
    </row>
    <row r="23" spans="1:18" ht="24.95" customHeight="1" x14ac:dyDescent="0.25">
      <c r="A23" s="425"/>
      <c r="B23" s="430"/>
      <c r="C23" s="340"/>
      <c r="D23" s="163" t="s">
        <v>18</v>
      </c>
      <c r="E23" s="163" t="s">
        <v>263</v>
      </c>
      <c r="F23" s="163" t="s">
        <v>276</v>
      </c>
      <c r="G23" s="163" t="s">
        <v>269</v>
      </c>
      <c r="H23" s="164">
        <v>486.3</v>
      </c>
      <c r="I23" s="164">
        <v>496.9</v>
      </c>
      <c r="J23" s="164"/>
      <c r="K23" s="165">
        <v>0</v>
      </c>
      <c r="L23" s="165"/>
      <c r="M23" s="165">
        <v>0</v>
      </c>
      <c r="N23" s="165">
        <v>0</v>
      </c>
      <c r="O23" s="165">
        <v>0</v>
      </c>
      <c r="P23" s="161">
        <v>0</v>
      </c>
      <c r="Q23" s="161">
        <f t="shared" si="0"/>
        <v>983.2</v>
      </c>
      <c r="R23" s="317"/>
    </row>
    <row r="24" spans="1:18" ht="24.95" customHeight="1" x14ac:dyDescent="0.25">
      <c r="A24" s="425"/>
      <c r="B24" s="430"/>
      <c r="C24" s="340"/>
      <c r="D24" s="163" t="s">
        <v>18</v>
      </c>
      <c r="E24" s="163" t="s">
        <v>263</v>
      </c>
      <c r="F24" s="163" t="s">
        <v>278</v>
      </c>
      <c r="G24" s="163" t="s">
        <v>265</v>
      </c>
      <c r="H24" s="164"/>
      <c r="I24" s="164"/>
      <c r="J24" s="164">
        <v>32757.9</v>
      </c>
      <c r="K24" s="165">
        <v>35111</v>
      </c>
      <c r="L24" s="165">
        <v>38950.400000000001</v>
      </c>
      <c r="M24" s="165">
        <v>42346.400000000001</v>
      </c>
      <c r="N24" s="165">
        <v>42682.1</v>
      </c>
      <c r="O24" s="165">
        <v>41400.199999999997</v>
      </c>
      <c r="P24" s="165">
        <v>41400.199999999997</v>
      </c>
      <c r="Q24" s="161">
        <f t="shared" si="0"/>
        <v>274648.2</v>
      </c>
      <c r="R24" s="317"/>
    </row>
    <row r="25" spans="1:18" ht="24.95" customHeight="1" x14ac:dyDescent="0.25">
      <c r="A25" s="425"/>
      <c r="B25" s="430"/>
      <c r="C25" s="340"/>
      <c r="D25" s="163" t="s">
        <v>18</v>
      </c>
      <c r="E25" s="163" t="s">
        <v>263</v>
      </c>
      <c r="F25" s="163" t="s">
        <v>278</v>
      </c>
      <c r="G25" s="163" t="s">
        <v>267</v>
      </c>
      <c r="H25" s="164"/>
      <c r="I25" s="164"/>
      <c r="J25" s="164">
        <v>762.6</v>
      </c>
      <c r="K25" s="165">
        <v>412</v>
      </c>
      <c r="L25" s="165">
        <v>357</v>
      </c>
      <c r="M25" s="165">
        <v>290</v>
      </c>
      <c r="N25" s="165">
        <v>0</v>
      </c>
      <c r="O25" s="165">
        <v>0</v>
      </c>
      <c r="P25" s="161">
        <v>0</v>
      </c>
      <c r="Q25" s="161">
        <f t="shared" si="0"/>
        <v>1821.6</v>
      </c>
      <c r="R25" s="317"/>
    </row>
    <row r="26" spans="1:18" ht="24.95" customHeight="1" x14ac:dyDescent="0.25">
      <c r="A26" s="425"/>
      <c r="B26" s="430"/>
      <c r="C26" s="340"/>
      <c r="D26" s="163" t="s">
        <v>18</v>
      </c>
      <c r="E26" s="163" t="s">
        <v>263</v>
      </c>
      <c r="F26" s="163" t="s">
        <v>278</v>
      </c>
      <c r="G26" s="163" t="s">
        <v>268</v>
      </c>
      <c r="H26" s="164"/>
      <c r="I26" s="164"/>
      <c r="J26" s="164">
        <v>4635</v>
      </c>
      <c r="K26" s="165">
        <v>4958.6000000000004</v>
      </c>
      <c r="L26" s="165">
        <v>5314.3</v>
      </c>
      <c r="M26" s="165">
        <v>6772.5</v>
      </c>
      <c r="N26" s="165">
        <v>6642.7</v>
      </c>
      <c r="O26" s="165">
        <v>6444</v>
      </c>
      <c r="P26" s="165">
        <v>6444</v>
      </c>
      <c r="Q26" s="161">
        <f t="shared" si="0"/>
        <v>41211.100000000006</v>
      </c>
      <c r="R26" s="317"/>
    </row>
    <row r="27" spans="1:18" ht="24.95" customHeight="1" x14ac:dyDescent="0.25">
      <c r="A27" s="425"/>
      <c r="B27" s="430"/>
      <c r="C27" s="340"/>
      <c r="D27" s="163" t="s">
        <v>18</v>
      </c>
      <c r="E27" s="163" t="s">
        <v>263</v>
      </c>
      <c r="F27" s="163" t="s">
        <v>278</v>
      </c>
      <c r="G27" s="163" t="s">
        <v>269</v>
      </c>
      <c r="H27" s="164"/>
      <c r="I27" s="164"/>
      <c r="J27" s="164">
        <v>89.5</v>
      </c>
      <c r="K27" s="165">
        <v>0</v>
      </c>
      <c r="L27" s="165"/>
      <c r="M27" s="165"/>
      <c r="N27" s="165"/>
      <c r="O27" s="165"/>
      <c r="P27" s="161">
        <f t="shared" si="1"/>
        <v>0</v>
      </c>
      <c r="Q27" s="161">
        <f t="shared" si="0"/>
        <v>89.5</v>
      </c>
      <c r="R27" s="317"/>
    </row>
    <row r="28" spans="1:18" ht="51" customHeight="1" x14ac:dyDescent="0.25">
      <c r="A28" s="425"/>
      <c r="B28" s="430"/>
      <c r="C28" s="340"/>
      <c r="D28" s="163" t="s">
        <v>18</v>
      </c>
      <c r="E28" s="163" t="s">
        <v>263</v>
      </c>
      <c r="F28" s="159" t="s">
        <v>279</v>
      </c>
      <c r="G28" s="163" t="s">
        <v>268</v>
      </c>
      <c r="H28" s="164"/>
      <c r="I28" s="164"/>
      <c r="J28" s="164"/>
      <c r="K28" s="165"/>
      <c r="L28" s="165">
        <v>102.6</v>
      </c>
      <c r="M28" s="166">
        <v>46.4</v>
      </c>
      <c r="N28" s="165">
        <v>436.4</v>
      </c>
      <c r="O28" s="165">
        <v>0</v>
      </c>
      <c r="P28" s="161">
        <f t="shared" si="1"/>
        <v>0</v>
      </c>
      <c r="Q28" s="161">
        <f t="shared" si="0"/>
        <v>585.4</v>
      </c>
      <c r="R28" s="317"/>
    </row>
    <row r="29" spans="1:18" ht="60" customHeight="1" x14ac:dyDescent="0.25">
      <c r="A29" s="425"/>
      <c r="B29" s="430"/>
      <c r="C29" s="340"/>
      <c r="D29" s="163" t="s">
        <v>18</v>
      </c>
      <c r="E29" s="163" t="s">
        <v>263</v>
      </c>
      <c r="F29" s="159" t="s">
        <v>280</v>
      </c>
      <c r="G29" s="163" t="s">
        <v>265</v>
      </c>
      <c r="H29" s="164"/>
      <c r="I29" s="164"/>
      <c r="J29" s="164"/>
      <c r="K29" s="165"/>
      <c r="L29" s="165">
        <v>613.20000000000005</v>
      </c>
      <c r="M29" s="166">
        <v>283</v>
      </c>
      <c r="N29" s="165">
        <v>2616.6</v>
      </c>
      <c r="O29" s="165">
        <v>0</v>
      </c>
      <c r="P29" s="161">
        <f t="shared" si="1"/>
        <v>0</v>
      </c>
      <c r="Q29" s="161">
        <f t="shared" si="0"/>
        <v>3512.8</v>
      </c>
      <c r="R29" s="317"/>
    </row>
    <row r="30" spans="1:18" ht="24.95" customHeight="1" x14ac:dyDescent="0.25">
      <c r="A30" s="425"/>
      <c r="B30" s="430"/>
      <c r="C30" s="340"/>
      <c r="D30" s="163" t="s">
        <v>18</v>
      </c>
      <c r="E30" s="163" t="s">
        <v>263</v>
      </c>
      <c r="F30" s="159" t="s">
        <v>281</v>
      </c>
      <c r="G30" s="163" t="s">
        <v>267</v>
      </c>
      <c r="H30" s="164"/>
      <c r="I30" s="164"/>
      <c r="J30" s="164"/>
      <c r="K30" s="165">
        <v>99</v>
      </c>
      <c r="L30" s="165"/>
      <c r="M30" s="165"/>
      <c r="N30" s="165"/>
      <c r="O30" s="165"/>
      <c r="P30" s="161">
        <f t="shared" si="1"/>
        <v>0</v>
      </c>
      <c r="Q30" s="161">
        <f t="shared" si="0"/>
        <v>99</v>
      </c>
      <c r="R30" s="317"/>
    </row>
    <row r="31" spans="1:18" ht="24.95" customHeight="1" x14ac:dyDescent="0.25">
      <c r="A31" s="425"/>
      <c r="B31" s="430"/>
      <c r="C31" s="340"/>
      <c r="D31" s="163" t="s">
        <v>18</v>
      </c>
      <c r="E31" s="163" t="s">
        <v>263</v>
      </c>
      <c r="F31" s="163" t="s">
        <v>282</v>
      </c>
      <c r="G31" s="163" t="s">
        <v>265</v>
      </c>
      <c r="H31" s="164">
        <v>181.4</v>
      </c>
      <c r="I31" s="164"/>
      <c r="J31" s="164"/>
      <c r="K31" s="165"/>
      <c r="L31" s="165"/>
      <c r="M31" s="165"/>
      <c r="N31" s="165"/>
      <c r="O31" s="165"/>
      <c r="P31" s="161">
        <f t="shared" si="1"/>
        <v>0</v>
      </c>
      <c r="Q31" s="161">
        <f t="shared" si="0"/>
        <v>181.4</v>
      </c>
      <c r="R31" s="317"/>
    </row>
    <row r="32" spans="1:18" ht="24.95" customHeight="1" x14ac:dyDescent="0.25">
      <c r="A32" s="425"/>
      <c r="B32" s="415"/>
      <c r="C32" s="378"/>
      <c r="D32" s="163" t="s">
        <v>18</v>
      </c>
      <c r="E32" s="163" t="s">
        <v>263</v>
      </c>
      <c r="F32" s="163" t="s">
        <v>282</v>
      </c>
      <c r="G32" s="163" t="s">
        <v>268</v>
      </c>
      <c r="H32" s="164">
        <v>35.299999999999997</v>
      </c>
      <c r="I32" s="164"/>
      <c r="J32" s="165"/>
      <c r="K32" s="165"/>
      <c r="L32" s="165"/>
      <c r="M32" s="165"/>
      <c r="N32" s="165"/>
      <c r="O32" s="165"/>
      <c r="P32" s="161">
        <f t="shared" si="1"/>
        <v>0</v>
      </c>
      <c r="Q32" s="161">
        <f t="shared" si="0"/>
        <v>35.299999999999997</v>
      </c>
      <c r="R32" s="317"/>
    </row>
    <row r="33" spans="1:18" ht="54.75" customHeight="1" x14ac:dyDescent="0.25">
      <c r="A33" s="426"/>
      <c r="B33" s="167" t="s">
        <v>283</v>
      </c>
      <c r="C33" s="60" t="s">
        <v>262</v>
      </c>
      <c r="D33" s="163" t="s">
        <v>18</v>
      </c>
      <c r="E33" s="163" t="s">
        <v>263</v>
      </c>
      <c r="F33" s="163" t="s">
        <v>15</v>
      </c>
      <c r="G33" s="163" t="s">
        <v>15</v>
      </c>
      <c r="H33" s="164">
        <v>13162.3</v>
      </c>
      <c r="I33" s="164">
        <v>12443.8</v>
      </c>
      <c r="J33" s="165">
        <v>16587.599999999999</v>
      </c>
      <c r="K33" s="165">
        <v>19415.5</v>
      </c>
      <c r="L33" s="165">
        <v>21251.4</v>
      </c>
      <c r="M33" s="165">
        <v>20373.5</v>
      </c>
      <c r="N33" s="165">
        <v>22110.7</v>
      </c>
      <c r="O33" s="165">
        <v>22400.2</v>
      </c>
      <c r="P33" s="165">
        <v>22400.2</v>
      </c>
      <c r="Q33" s="161">
        <f t="shared" si="0"/>
        <v>170145.2</v>
      </c>
      <c r="R33" s="335"/>
    </row>
    <row r="34" spans="1:18" ht="32.25" customHeight="1" x14ac:dyDescent="0.25">
      <c r="A34" s="411" t="s">
        <v>113</v>
      </c>
      <c r="B34" s="414" t="s">
        <v>284</v>
      </c>
      <c r="C34" s="339" t="s">
        <v>262</v>
      </c>
      <c r="D34" s="163" t="s">
        <v>18</v>
      </c>
      <c r="E34" s="163" t="s">
        <v>263</v>
      </c>
      <c r="F34" s="163" t="s">
        <v>285</v>
      </c>
      <c r="G34" s="163" t="s">
        <v>267</v>
      </c>
      <c r="H34" s="164">
        <v>2036.1</v>
      </c>
      <c r="I34" s="164"/>
      <c r="J34" s="164"/>
      <c r="K34" s="165"/>
      <c r="L34" s="165"/>
      <c r="M34" s="165"/>
      <c r="N34" s="165"/>
      <c r="O34" s="165"/>
      <c r="P34" s="161">
        <f t="shared" si="1"/>
        <v>0</v>
      </c>
      <c r="Q34" s="161">
        <f t="shared" si="0"/>
        <v>2036.1</v>
      </c>
      <c r="R34" s="416" t="s">
        <v>286</v>
      </c>
    </row>
    <row r="35" spans="1:18" ht="39" customHeight="1" x14ac:dyDescent="0.25">
      <c r="A35" s="412"/>
      <c r="B35" s="415"/>
      <c r="C35" s="378"/>
      <c r="D35" s="163" t="s">
        <v>18</v>
      </c>
      <c r="E35" s="163" t="s">
        <v>263</v>
      </c>
      <c r="F35" s="163" t="s">
        <v>287</v>
      </c>
      <c r="G35" s="163" t="s">
        <v>267</v>
      </c>
      <c r="H35" s="164">
        <v>511.1</v>
      </c>
      <c r="I35" s="164"/>
      <c r="J35" s="164"/>
      <c r="K35" s="165"/>
      <c r="L35" s="165"/>
      <c r="M35" s="165"/>
      <c r="N35" s="165"/>
      <c r="O35" s="165"/>
      <c r="P35" s="161">
        <f t="shared" si="1"/>
        <v>0</v>
      </c>
      <c r="Q35" s="161">
        <f t="shared" si="0"/>
        <v>511.1</v>
      </c>
      <c r="R35" s="417"/>
    </row>
    <row r="36" spans="1:18" ht="69" customHeight="1" x14ac:dyDescent="0.25">
      <c r="A36" s="413"/>
      <c r="B36" s="168" t="s">
        <v>288</v>
      </c>
      <c r="C36" s="60" t="s">
        <v>262</v>
      </c>
      <c r="D36" s="163" t="s">
        <v>18</v>
      </c>
      <c r="E36" s="163" t="s">
        <v>263</v>
      </c>
      <c r="F36" s="163" t="s">
        <v>289</v>
      </c>
      <c r="G36" s="163" t="s">
        <v>267</v>
      </c>
      <c r="H36" s="164">
        <v>20.5</v>
      </c>
      <c r="I36" s="164">
        <v>0</v>
      </c>
      <c r="J36" s="164">
        <v>0</v>
      </c>
      <c r="K36" s="165"/>
      <c r="L36" s="165"/>
      <c r="M36" s="165"/>
      <c r="N36" s="165"/>
      <c r="O36" s="165"/>
      <c r="P36" s="161">
        <f t="shared" si="1"/>
        <v>0</v>
      </c>
      <c r="Q36" s="161">
        <f t="shared" si="0"/>
        <v>20.5</v>
      </c>
      <c r="R36" s="418"/>
    </row>
    <row r="37" spans="1:18" s="57" customFormat="1" ht="35.25" customHeight="1" x14ac:dyDescent="0.25">
      <c r="A37" s="419" t="s">
        <v>115</v>
      </c>
      <c r="B37" s="421" t="s">
        <v>290</v>
      </c>
      <c r="C37" s="339" t="s">
        <v>262</v>
      </c>
      <c r="D37" s="163" t="s">
        <v>18</v>
      </c>
      <c r="E37" s="163" t="s">
        <v>263</v>
      </c>
      <c r="F37" s="163" t="s">
        <v>291</v>
      </c>
      <c r="G37" s="163" t="s">
        <v>267</v>
      </c>
      <c r="H37" s="164">
        <v>3.4</v>
      </c>
      <c r="I37" s="164">
        <v>3.4</v>
      </c>
      <c r="J37" s="164"/>
      <c r="K37" s="165"/>
      <c r="L37" s="165"/>
      <c r="M37" s="165"/>
      <c r="N37" s="165"/>
      <c r="O37" s="165"/>
      <c r="P37" s="161">
        <f t="shared" si="1"/>
        <v>0</v>
      </c>
      <c r="Q37" s="161">
        <f t="shared" si="0"/>
        <v>6.8</v>
      </c>
      <c r="R37" s="398"/>
    </row>
    <row r="38" spans="1:18" s="57" customFormat="1" ht="53.25" customHeight="1" x14ac:dyDescent="0.25">
      <c r="A38" s="420"/>
      <c r="B38" s="422"/>
      <c r="C38" s="378"/>
      <c r="D38" s="169" t="s">
        <v>18</v>
      </c>
      <c r="E38" s="169" t="s">
        <v>263</v>
      </c>
      <c r="F38" s="163" t="s">
        <v>291</v>
      </c>
      <c r="G38" s="163" t="s">
        <v>269</v>
      </c>
      <c r="H38" s="164">
        <v>0.6</v>
      </c>
      <c r="I38" s="164">
        <v>0.6</v>
      </c>
      <c r="J38" s="164"/>
      <c r="K38" s="165"/>
      <c r="L38" s="165"/>
      <c r="M38" s="165"/>
      <c r="N38" s="165"/>
      <c r="O38" s="165"/>
      <c r="P38" s="161">
        <f t="shared" si="1"/>
        <v>0</v>
      </c>
      <c r="Q38" s="161">
        <f t="shared" si="0"/>
        <v>1.2</v>
      </c>
      <c r="R38" s="399"/>
    </row>
    <row r="39" spans="1:18" ht="35.1" customHeight="1" x14ac:dyDescent="0.25">
      <c r="A39" s="407" t="s">
        <v>118</v>
      </c>
      <c r="B39" s="403" t="s">
        <v>292</v>
      </c>
      <c r="C39" s="339" t="s">
        <v>262</v>
      </c>
      <c r="D39" s="169" t="s">
        <v>18</v>
      </c>
      <c r="E39" s="169" t="s">
        <v>293</v>
      </c>
      <c r="F39" s="163" t="s">
        <v>294</v>
      </c>
      <c r="G39" s="163" t="s">
        <v>295</v>
      </c>
      <c r="H39" s="164">
        <v>2490.8000000000002</v>
      </c>
      <c r="I39" s="164">
        <v>2975.5</v>
      </c>
      <c r="J39" s="164">
        <v>5157.1000000000004</v>
      </c>
      <c r="K39" s="165">
        <v>3953.2</v>
      </c>
      <c r="L39" s="165">
        <f>3232.2-682.5</f>
        <v>2549.6999999999998</v>
      </c>
      <c r="M39" s="165">
        <v>3541.5</v>
      </c>
      <c r="N39" s="165">
        <v>3209.2</v>
      </c>
      <c r="O39" s="165">
        <v>3209.2</v>
      </c>
      <c r="P39" s="165">
        <v>3209.2</v>
      </c>
      <c r="Q39" s="161">
        <f t="shared" si="0"/>
        <v>30295.400000000005</v>
      </c>
      <c r="R39" s="398" t="s">
        <v>296</v>
      </c>
    </row>
    <row r="40" spans="1:18" ht="45" customHeight="1" x14ac:dyDescent="0.25">
      <c r="A40" s="408"/>
      <c r="B40" s="404"/>
      <c r="C40" s="378"/>
      <c r="D40" s="169" t="s">
        <v>18</v>
      </c>
      <c r="E40" s="169" t="s">
        <v>293</v>
      </c>
      <c r="F40" s="163" t="s">
        <v>294</v>
      </c>
      <c r="G40" s="163" t="s">
        <v>297</v>
      </c>
      <c r="H40" s="164">
        <v>27</v>
      </c>
      <c r="I40" s="164"/>
      <c r="J40" s="164"/>
      <c r="K40" s="165"/>
      <c r="L40" s="165"/>
      <c r="M40" s="165"/>
      <c r="N40" s="165"/>
      <c r="O40" s="165"/>
      <c r="P40" s="161">
        <f t="shared" si="1"/>
        <v>0</v>
      </c>
      <c r="Q40" s="161">
        <f t="shared" si="0"/>
        <v>27</v>
      </c>
      <c r="R40" s="399"/>
    </row>
    <row r="41" spans="1:18" ht="35.1" customHeight="1" x14ac:dyDescent="0.25">
      <c r="A41" s="401" t="s">
        <v>298</v>
      </c>
      <c r="B41" s="409" t="s">
        <v>299</v>
      </c>
      <c r="C41" s="339" t="s">
        <v>262</v>
      </c>
      <c r="D41" s="163" t="s">
        <v>18</v>
      </c>
      <c r="E41" s="169" t="s">
        <v>263</v>
      </c>
      <c r="F41" s="169" t="s">
        <v>300</v>
      </c>
      <c r="G41" s="163" t="s">
        <v>267</v>
      </c>
      <c r="H41" s="164">
        <v>274.89999999999998</v>
      </c>
      <c r="I41" s="164">
        <v>279.10000000000002</v>
      </c>
      <c r="J41" s="164">
        <v>474.8</v>
      </c>
      <c r="K41" s="165">
        <v>380</v>
      </c>
      <c r="L41" s="165">
        <v>522.29999999999995</v>
      </c>
      <c r="M41" s="165">
        <v>301.3</v>
      </c>
      <c r="N41" s="165">
        <v>471.3</v>
      </c>
      <c r="O41" s="165">
        <v>471.3</v>
      </c>
      <c r="P41" s="165">
        <v>471.3</v>
      </c>
      <c r="Q41" s="161">
        <f t="shared" si="0"/>
        <v>3646.3000000000006</v>
      </c>
      <c r="R41" s="398" t="s">
        <v>301</v>
      </c>
    </row>
    <row r="42" spans="1:18" ht="35.1" customHeight="1" x14ac:dyDescent="0.25">
      <c r="A42" s="402"/>
      <c r="B42" s="410"/>
      <c r="C42" s="378"/>
      <c r="D42" s="163" t="s">
        <v>18</v>
      </c>
      <c r="E42" s="169" t="s">
        <v>263</v>
      </c>
      <c r="F42" s="169" t="s">
        <v>300</v>
      </c>
      <c r="G42" s="163" t="s">
        <v>269</v>
      </c>
      <c r="H42" s="164">
        <v>19</v>
      </c>
      <c r="I42" s="164">
        <v>25.1</v>
      </c>
      <c r="J42" s="164">
        <v>36.799999999999997</v>
      </c>
      <c r="K42" s="165">
        <v>52.6</v>
      </c>
      <c r="L42" s="165">
        <v>76.7</v>
      </c>
      <c r="M42" s="165">
        <v>19.2</v>
      </c>
      <c r="N42" s="165">
        <v>127</v>
      </c>
      <c r="O42" s="165">
        <v>127</v>
      </c>
      <c r="P42" s="165">
        <v>127</v>
      </c>
      <c r="Q42" s="161">
        <f t="shared" si="0"/>
        <v>610.4</v>
      </c>
      <c r="R42" s="399"/>
    </row>
    <row r="43" spans="1:18" ht="44.25" customHeight="1" x14ac:dyDescent="0.25">
      <c r="A43" s="401" t="s">
        <v>302</v>
      </c>
      <c r="B43" s="403" t="s">
        <v>303</v>
      </c>
      <c r="C43" s="339" t="s">
        <v>262</v>
      </c>
      <c r="D43" s="405" t="s">
        <v>18</v>
      </c>
      <c r="E43" s="163" t="s">
        <v>263</v>
      </c>
      <c r="F43" s="163" t="s">
        <v>304</v>
      </c>
      <c r="G43" s="163" t="s">
        <v>267</v>
      </c>
      <c r="H43" s="164">
        <v>4242.3</v>
      </c>
      <c r="I43" s="164">
        <v>0</v>
      </c>
      <c r="J43" s="164"/>
      <c r="K43" s="165"/>
      <c r="L43" s="165"/>
      <c r="M43" s="165"/>
      <c r="N43" s="164"/>
      <c r="O43" s="164"/>
      <c r="P43" s="161">
        <f t="shared" si="1"/>
        <v>0</v>
      </c>
      <c r="Q43" s="161">
        <f t="shared" si="0"/>
        <v>4242.3</v>
      </c>
      <c r="R43" s="398" t="s">
        <v>305</v>
      </c>
    </row>
    <row r="44" spans="1:18" ht="42" customHeight="1" x14ac:dyDescent="0.25">
      <c r="A44" s="402"/>
      <c r="B44" s="404"/>
      <c r="C44" s="340"/>
      <c r="D44" s="406"/>
      <c r="E44" s="163" t="s">
        <v>263</v>
      </c>
      <c r="F44" s="163" t="s">
        <v>306</v>
      </c>
      <c r="G44" s="163" t="s">
        <v>267</v>
      </c>
      <c r="H44" s="164">
        <v>15008.8</v>
      </c>
      <c r="I44" s="164"/>
      <c r="J44" s="164"/>
      <c r="K44" s="165"/>
      <c r="L44" s="165"/>
      <c r="M44" s="165"/>
      <c r="N44" s="164"/>
      <c r="O44" s="164"/>
      <c r="P44" s="161">
        <f t="shared" si="1"/>
        <v>0</v>
      </c>
      <c r="Q44" s="161">
        <f t="shared" si="0"/>
        <v>15008.8</v>
      </c>
      <c r="R44" s="399"/>
    </row>
    <row r="45" spans="1:18" ht="35.1" customHeight="1" x14ac:dyDescent="0.25">
      <c r="A45" s="170" t="s">
        <v>307</v>
      </c>
      <c r="B45" s="171" t="s">
        <v>308</v>
      </c>
      <c r="C45" s="378"/>
      <c r="D45" s="163" t="s">
        <v>18</v>
      </c>
      <c r="E45" s="163" t="s">
        <v>263</v>
      </c>
      <c r="F45" s="163" t="s">
        <v>309</v>
      </c>
      <c r="G45" s="163" t="s">
        <v>267</v>
      </c>
      <c r="H45" s="164">
        <v>1500.9</v>
      </c>
      <c r="I45" s="164"/>
      <c r="J45" s="164"/>
      <c r="K45" s="165"/>
      <c r="L45" s="165"/>
      <c r="M45" s="165"/>
      <c r="N45" s="164"/>
      <c r="O45" s="164"/>
      <c r="P45" s="161">
        <f t="shared" si="1"/>
        <v>0</v>
      </c>
      <c r="Q45" s="161">
        <f t="shared" si="0"/>
        <v>1500.9</v>
      </c>
      <c r="R45" s="172"/>
    </row>
    <row r="46" spans="1:18" ht="49.5" customHeight="1" x14ac:dyDescent="0.25">
      <c r="A46" s="401" t="s">
        <v>310</v>
      </c>
      <c r="B46" s="403" t="s">
        <v>311</v>
      </c>
      <c r="C46" s="339" t="s">
        <v>262</v>
      </c>
      <c r="D46" s="163" t="s">
        <v>18</v>
      </c>
      <c r="E46" s="163" t="s">
        <v>263</v>
      </c>
      <c r="F46" s="163" t="s">
        <v>312</v>
      </c>
      <c r="G46" s="163" t="s">
        <v>269</v>
      </c>
      <c r="H46" s="164">
        <v>2</v>
      </c>
      <c r="I46" s="164"/>
      <c r="J46" s="164"/>
      <c r="K46" s="165"/>
      <c r="L46" s="165"/>
      <c r="M46" s="165"/>
      <c r="N46" s="164"/>
      <c r="O46" s="164"/>
      <c r="P46" s="161">
        <f t="shared" si="1"/>
        <v>0</v>
      </c>
      <c r="Q46" s="161">
        <f t="shared" si="0"/>
        <v>2</v>
      </c>
      <c r="R46" s="398" t="s">
        <v>313</v>
      </c>
    </row>
    <row r="47" spans="1:18" ht="62.25" customHeight="1" x14ac:dyDescent="0.25">
      <c r="A47" s="402"/>
      <c r="B47" s="404"/>
      <c r="C47" s="378"/>
      <c r="D47" s="163" t="s">
        <v>18</v>
      </c>
      <c r="E47" s="163" t="s">
        <v>263</v>
      </c>
      <c r="F47" s="163" t="s">
        <v>312</v>
      </c>
      <c r="G47" s="163" t="s">
        <v>267</v>
      </c>
      <c r="H47" s="164">
        <v>3</v>
      </c>
      <c r="I47" s="164"/>
      <c r="J47" s="164"/>
      <c r="K47" s="165"/>
      <c r="L47" s="165"/>
      <c r="M47" s="165"/>
      <c r="N47" s="164"/>
      <c r="O47" s="164"/>
      <c r="P47" s="161">
        <f t="shared" si="1"/>
        <v>0</v>
      </c>
      <c r="Q47" s="161">
        <f t="shared" si="0"/>
        <v>3</v>
      </c>
      <c r="R47" s="399"/>
    </row>
    <row r="48" spans="1:18" ht="35.1" customHeight="1" x14ac:dyDescent="0.25">
      <c r="A48" s="397" t="s">
        <v>314</v>
      </c>
      <c r="B48" s="398" t="s">
        <v>315</v>
      </c>
      <c r="C48" s="339" t="s">
        <v>262</v>
      </c>
      <c r="D48" s="159" t="s">
        <v>18</v>
      </c>
      <c r="E48" s="159" t="s">
        <v>316</v>
      </c>
      <c r="F48" s="159" t="s">
        <v>317</v>
      </c>
      <c r="G48" s="6">
        <v>622</v>
      </c>
      <c r="H48" s="164">
        <v>13</v>
      </c>
      <c r="I48" s="164">
        <v>13</v>
      </c>
      <c r="J48" s="173"/>
      <c r="K48" s="174"/>
      <c r="L48" s="174"/>
      <c r="M48" s="174"/>
      <c r="N48" s="173"/>
      <c r="O48" s="173"/>
      <c r="P48" s="161">
        <f t="shared" si="1"/>
        <v>0</v>
      </c>
      <c r="Q48" s="161">
        <f t="shared" si="0"/>
        <v>26</v>
      </c>
      <c r="R48" s="318" t="s">
        <v>318</v>
      </c>
    </row>
    <row r="49" spans="1:18" ht="36" customHeight="1" x14ac:dyDescent="0.25">
      <c r="A49" s="397"/>
      <c r="B49" s="399"/>
      <c r="C49" s="378"/>
      <c r="D49" s="159" t="s">
        <v>18</v>
      </c>
      <c r="E49" s="159" t="s">
        <v>316</v>
      </c>
      <c r="F49" s="159" t="s">
        <v>317</v>
      </c>
      <c r="G49" s="6">
        <v>244</v>
      </c>
      <c r="H49" s="164"/>
      <c r="I49" s="164"/>
      <c r="J49" s="164"/>
      <c r="K49" s="165"/>
      <c r="L49" s="165"/>
      <c r="M49" s="165"/>
      <c r="N49" s="164"/>
      <c r="O49" s="164"/>
      <c r="P49" s="161">
        <f t="shared" si="1"/>
        <v>0</v>
      </c>
      <c r="Q49" s="161">
        <f t="shared" si="0"/>
        <v>0</v>
      </c>
      <c r="R49" s="400"/>
    </row>
    <row r="50" spans="1:18" ht="22.5" customHeight="1" x14ac:dyDescent="0.25">
      <c r="A50" s="392" t="s">
        <v>319</v>
      </c>
      <c r="B50" s="393"/>
      <c r="C50" s="175"/>
      <c r="D50" s="175"/>
      <c r="E50" s="176"/>
      <c r="F50" s="175"/>
      <c r="G50" s="175"/>
      <c r="H50" s="165">
        <f t="shared" ref="H50:O50" si="2">SUM(H7:H49)</f>
        <v>198091.59999999992</v>
      </c>
      <c r="I50" s="165">
        <f t="shared" si="2"/>
        <v>204824.59999999998</v>
      </c>
      <c r="J50" s="165">
        <f t="shared" si="2"/>
        <v>219030.49999999997</v>
      </c>
      <c r="K50" s="165">
        <f t="shared" si="2"/>
        <v>218633.10000000003</v>
      </c>
      <c r="L50" s="165">
        <f t="shared" si="2"/>
        <v>229336.90000000002</v>
      </c>
      <c r="M50" s="165">
        <f t="shared" si="2"/>
        <v>267495.39999999997</v>
      </c>
      <c r="N50" s="165">
        <f t="shared" si="2"/>
        <v>273496</v>
      </c>
      <c r="O50" s="165">
        <f t="shared" si="2"/>
        <v>267814.90000000002</v>
      </c>
      <c r="P50" s="161">
        <f t="shared" si="1"/>
        <v>267814.90000000002</v>
      </c>
      <c r="Q50" s="161">
        <f t="shared" si="0"/>
        <v>2146537.8999999994</v>
      </c>
      <c r="R50" s="24"/>
    </row>
    <row r="51" spans="1:18" ht="20.25" customHeight="1" x14ac:dyDescent="0.25">
      <c r="A51" s="392" t="s">
        <v>320</v>
      </c>
      <c r="B51" s="393"/>
      <c r="C51" s="177"/>
      <c r="D51" s="177"/>
      <c r="E51" s="177"/>
      <c r="F51" s="177"/>
      <c r="G51" s="177"/>
      <c r="H51" s="165">
        <f t="shared" ref="H51:M51" si="3">H50</f>
        <v>198091.59999999992</v>
      </c>
      <c r="I51" s="165">
        <f t="shared" si="3"/>
        <v>204824.59999999998</v>
      </c>
      <c r="J51" s="165">
        <f t="shared" si="3"/>
        <v>219030.49999999997</v>
      </c>
      <c r="K51" s="165">
        <f t="shared" si="3"/>
        <v>218633.10000000003</v>
      </c>
      <c r="L51" s="165">
        <f t="shared" si="3"/>
        <v>229336.90000000002</v>
      </c>
      <c r="M51" s="165">
        <f t="shared" si="3"/>
        <v>267495.39999999997</v>
      </c>
      <c r="N51" s="165">
        <f>N50</f>
        <v>273496</v>
      </c>
      <c r="O51" s="165">
        <f>O50</f>
        <v>267814.90000000002</v>
      </c>
      <c r="P51" s="161">
        <f t="shared" si="1"/>
        <v>267814.90000000002</v>
      </c>
      <c r="Q51" s="161">
        <f t="shared" si="0"/>
        <v>2146537.8999999994</v>
      </c>
      <c r="R51" s="24"/>
    </row>
    <row r="52" spans="1:18" ht="20.25" customHeight="1" x14ac:dyDescent="0.25">
      <c r="A52" s="392" t="s">
        <v>321</v>
      </c>
      <c r="B52" s="393"/>
      <c r="C52" s="177"/>
      <c r="D52" s="177"/>
      <c r="E52" s="177"/>
      <c r="F52" s="177"/>
      <c r="G52" s="177"/>
      <c r="H52" s="165">
        <f>H16+H17+H18+H19+H20+H21+H22+H23+H24+H25+H26+H27+H31+H32+H34+H35+H39+H40+H41+H42+H43+H44</f>
        <v>92552.900000000023</v>
      </c>
      <c r="I52" s="165">
        <f>I16+I17+I18+I19+I20+I21+I22+I23+I24+I25+I26+I27+I31+I32+I34+I35+I39+I40+I41+I42+I43+I44</f>
        <v>81485.8</v>
      </c>
      <c r="J52" s="165">
        <f>J16+J17+J18+J19+J20+J21+J22+J23+J24+J25+J26+J27+J31+J32+J34+J35+J39+J40+J41+J42+J43+J44</f>
        <v>116158.70000000001</v>
      </c>
      <c r="K52" s="165">
        <f>K16+K17+K18+K19+K20+K21+K22+K23+K24+K25+K26+K27+K31+K32+K34+K35+K39+K40+K41+K42+K43+K44+K30</f>
        <v>122752.3</v>
      </c>
      <c r="L52" s="165">
        <f>L16+L17+L18+L19+L20+L21+L22+L23+L24+L25+L26+L27+L31+L32+L34+L35+L39+L40+L41+L42+L43+L44+L28+L29</f>
        <v>129296.8</v>
      </c>
      <c r="M52" s="165">
        <f>M16+M17+M18+M19+M20+M21+M22+M23+M24+M25+M26+M27+M31+M32+M34+M35+M39+M40+M41+M42+M43+M44+M28+M29+M14</f>
        <v>147632</v>
      </c>
      <c r="N52" s="165">
        <f>N16+N17+N18+N19+N20+N21+N22+N23+N24+N25+N26+N27+N31+N32+N34+N35+N39+N40+N41+N42+N43+N44+N28+N29</f>
        <v>162590.1</v>
      </c>
      <c r="O52" s="165">
        <f>O16+O17+O18+O19+O20+O21+O22+O23+O24+O25+O26+O27+O31+O32+O34+O35+O39+O40+O41+O42+O43+O44</f>
        <v>156583.29999999999</v>
      </c>
      <c r="P52" s="161">
        <f t="shared" si="1"/>
        <v>156583.29999999999</v>
      </c>
      <c r="Q52" s="161">
        <f t="shared" si="0"/>
        <v>1165635.2</v>
      </c>
      <c r="R52" s="24"/>
    </row>
    <row r="53" spans="1:18" ht="20.25" customHeight="1" x14ac:dyDescent="0.25">
      <c r="A53" s="392" t="s">
        <v>322</v>
      </c>
      <c r="B53" s="393"/>
      <c r="C53" s="177"/>
      <c r="D53" s="177"/>
      <c r="E53" s="177"/>
      <c r="F53" s="177"/>
      <c r="G53" s="177"/>
      <c r="H53" s="165">
        <f>H7+H8+H9+H10+H11+H12+H14+H15+H36+H37+H38+H45+H46+H47+H48+H49</f>
        <v>92376.4</v>
      </c>
      <c r="I53" s="165">
        <f>I7+I8+I9+I10+I11+I12+I14+I15+I36+I37+I38+I45+I46+I47+I48+I49</f>
        <v>110895</v>
      </c>
      <c r="J53" s="165">
        <f>J7+J8+J9+J10+J11+J12+J14+J15+J36+J37+J38+J45+J46+J47+J48+J49</f>
        <v>86284.2</v>
      </c>
      <c r="K53" s="165">
        <f>K7+K8+K9+K10+K11+K12+K14+K15+K36+K37+K38+K45+K46+K47+K48+K49</f>
        <v>76465.3</v>
      </c>
      <c r="L53" s="165">
        <f>L7+L8+L9+L10+L11+L12+L14+L15+L36+L37+L38+L45+L46+L47+L48+L49</f>
        <v>78788.700000000012</v>
      </c>
      <c r="M53" s="165">
        <f>M7+M8+M9+M10+M11+M12+M15+M36+M37+M38+M45+M46+M47+M48+M49+M13</f>
        <v>99489.9</v>
      </c>
      <c r="N53" s="165">
        <f>N7+N8+N9+N10+N11+N12+N14+N15+N36+N37+N38+N45+N46+N47+N48+N49+N13</f>
        <v>88795.199999999997</v>
      </c>
      <c r="O53" s="165">
        <f>O7+O8+O9+O10+O11+O12+O14+O15+O36+O37+O38+O45+O46+O47+O48+O49+O13</f>
        <v>88831.400000000009</v>
      </c>
      <c r="P53" s="161">
        <f t="shared" si="1"/>
        <v>88831.400000000009</v>
      </c>
      <c r="Q53" s="161">
        <f t="shared" si="0"/>
        <v>810757.5</v>
      </c>
      <c r="R53" s="24"/>
    </row>
    <row r="54" spans="1:18" ht="20.25" customHeight="1" x14ac:dyDescent="0.25">
      <c r="A54" s="392" t="s">
        <v>323</v>
      </c>
      <c r="B54" s="393"/>
      <c r="C54" s="177"/>
      <c r="D54" s="177"/>
      <c r="E54" s="177"/>
      <c r="F54" s="177"/>
      <c r="G54" s="177"/>
      <c r="H54" s="165">
        <f t="shared" ref="H54:O54" si="4">H33</f>
        <v>13162.3</v>
      </c>
      <c r="I54" s="165">
        <f t="shared" si="4"/>
        <v>12443.8</v>
      </c>
      <c r="J54" s="164">
        <f t="shared" si="4"/>
        <v>16587.599999999999</v>
      </c>
      <c r="K54" s="165">
        <f t="shared" si="4"/>
        <v>19415.5</v>
      </c>
      <c r="L54" s="165">
        <f t="shared" si="4"/>
        <v>21251.4</v>
      </c>
      <c r="M54" s="165">
        <f t="shared" si="4"/>
        <v>20373.5</v>
      </c>
      <c r="N54" s="165">
        <f t="shared" si="4"/>
        <v>22110.7</v>
      </c>
      <c r="O54" s="165">
        <f t="shared" si="4"/>
        <v>22400.2</v>
      </c>
      <c r="P54" s="161">
        <f t="shared" si="1"/>
        <v>22400.2</v>
      </c>
      <c r="Q54" s="161">
        <f t="shared" si="0"/>
        <v>170145.2</v>
      </c>
      <c r="R54" s="24"/>
    </row>
    <row r="55" spans="1:18" s="180" customFormat="1" x14ac:dyDescent="0.25">
      <c r="A55" s="394"/>
      <c r="B55" s="394"/>
      <c r="C55" s="178"/>
      <c r="D55" s="178"/>
      <c r="E55" s="178"/>
      <c r="F55" s="178"/>
      <c r="G55" s="178"/>
      <c r="H55" s="178"/>
      <c r="I55" s="179"/>
      <c r="J55" s="179"/>
      <c r="K55" s="133"/>
      <c r="L55" s="133"/>
      <c r="M55" s="133"/>
      <c r="N55" s="133"/>
      <c r="O55" s="133"/>
      <c r="P55" s="133"/>
      <c r="Q55" s="133"/>
      <c r="R55" s="133"/>
    </row>
    <row r="56" spans="1:18" s="133" customFormat="1" x14ac:dyDescent="0.25">
      <c r="A56" s="395"/>
      <c r="B56" s="395"/>
      <c r="C56" s="181"/>
      <c r="D56" s="181"/>
      <c r="E56" s="181"/>
      <c r="F56" s="181"/>
      <c r="G56" s="181"/>
      <c r="H56" s="181"/>
      <c r="I56" s="181"/>
      <c r="J56" s="181"/>
      <c r="K56" s="181"/>
      <c r="Q56" s="182"/>
    </row>
    <row r="57" spans="1:18" x14ac:dyDescent="0.25">
      <c r="A57" s="396" t="s">
        <v>33</v>
      </c>
      <c r="B57" s="396"/>
      <c r="C57" s="396"/>
      <c r="D57" s="183"/>
      <c r="E57" s="183"/>
      <c r="F57" s="183"/>
      <c r="G57" s="183"/>
      <c r="H57" s="183"/>
      <c r="I57" s="184"/>
      <c r="R57" s="184" t="s">
        <v>34</v>
      </c>
    </row>
    <row r="58" spans="1:18" x14ac:dyDescent="0.25">
      <c r="A58" s="185"/>
      <c r="B58" s="186"/>
      <c r="C58" s="187"/>
      <c r="D58" s="187"/>
      <c r="E58" s="187"/>
      <c r="F58" s="187"/>
      <c r="G58" s="187"/>
      <c r="H58" s="187"/>
    </row>
    <row r="59" spans="1:18" x14ac:dyDescent="0.25">
      <c r="A59" s="185"/>
      <c r="B59" s="186"/>
      <c r="C59" s="187"/>
      <c r="D59" s="187"/>
      <c r="E59" s="187"/>
      <c r="F59" s="187"/>
      <c r="G59" s="187"/>
      <c r="H59" s="187"/>
    </row>
    <row r="60" spans="1:18" x14ac:dyDescent="0.25">
      <c r="A60" s="185"/>
      <c r="B60" s="186"/>
      <c r="C60" s="187"/>
      <c r="D60" s="187"/>
      <c r="E60" s="187"/>
      <c r="F60" s="187"/>
      <c r="G60" s="187"/>
      <c r="H60" s="187"/>
    </row>
    <row r="61" spans="1:18" x14ac:dyDescent="0.25">
      <c r="A61" s="185"/>
      <c r="B61" s="186"/>
      <c r="C61" s="187"/>
      <c r="D61" s="187"/>
      <c r="E61" s="187"/>
      <c r="F61" s="187"/>
      <c r="G61" s="187"/>
      <c r="H61" s="187"/>
    </row>
    <row r="62" spans="1:18" x14ac:dyDescent="0.25">
      <c r="A62" s="185"/>
      <c r="B62" s="186"/>
      <c r="C62" s="187"/>
      <c r="D62" s="187"/>
      <c r="E62" s="187"/>
      <c r="F62" s="187"/>
      <c r="G62" s="187"/>
      <c r="H62" s="187"/>
    </row>
    <row r="63" spans="1:18" x14ac:dyDescent="0.25">
      <c r="A63" s="185"/>
      <c r="B63" s="186"/>
      <c r="C63" s="187"/>
      <c r="D63" s="187"/>
      <c r="E63" s="187"/>
      <c r="F63" s="187"/>
      <c r="G63" s="187"/>
      <c r="H63" s="187"/>
    </row>
    <row r="64" spans="1:18" x14ac:dyDescent="0.25">
      <c r="A64" s="185"/>
      <c r="B64" s="186"/>
      <c r="C64" s="187"/>
      <c r="D64" s="187"/>
      <c r="E64" s="187"/>
      <c r="F64" s="187"/>
      <c r="G64" s="187"/>
      <c r="H64" s="187"/>
    </row>
    <row r="65" spans="1:8" x14ac:dyDescent="0.25">
      <c r="A65" s="185"/>
      <c r="B65" s="186"/>
      <c r="C65" s="187"/>
      <c r="D65" s="187"/>
      <c r="E65" s="187"/>
      <c r="F65" s="187"/>
      <c r="G65" s="187"/>
      <c r="H65" s="187"/>
    </row>
    <row r="66" spans="1:8" x14ac:dyDescent="0.25">
      <c r="A66" s="185"/>
      <c r="B66" s="186"/>
      <c r="C66" s="187"/>
      <c r="D66" s="187"/>
      <c r="E66" s="187"/>
      <c r="F66" s="187"/>
      <c r="G66" s="187"/>
      <c r="H66" s="187"/>
    </row>
    <row r="67" spans="1:8" x14ac:dyDescent="0.25">
      <c r="A67" s="185"/>
      <c r="B67" s="186"/>
      <c r="C67" s="187"/>
      <c r="D67" s="187"/>
      <c r="E67" s="187"/>
      <c r="F67" s="187"/>
      <c r="G67" s="187"/>
      <c r="H67" s="187"/>
    </row>
    <row r="68" spans="1:8" x14ac:dyDescent="0.25">
      <c r="A68" s="185"/>
      <c r="B68" s="186"/>
      <c r="C68" s="187"/>
      <c r="D68" s="187"/>
      <c r="E68" s="187"/>
      <c r="F68" s="187"/>
      <c r="G68" s="187"/>
      <c r="H68" s="187"/>
    </row>
    <row r="69" spans="1:8" x14ac:dyDescent="0.25">
      <c r="A69" s="185"/>
      <c r="B69" s="186"/>
      <c r="C69" s="187"/>
      <c r="D69" s="187"/>
      <c r="E69" s="187"/>
      <c r="F69" s="187"/>
      <c r="G69" s="187"/>
      <c r="H69" s="187"/>
    </row>
    <row r="70" spans="1:8" x14ac:dyDescent="0.25">
      <c r="A70" s="185"/>
      <c r="B70" s="186"/>
      <c r="C70" s="187"/>
      <c r="D70" s="187"/>
      <c r="E70" s="187"/>
      <c r="F70" s="187"/>
      <c r="G70" s="187"/>
      <c r="H70" s="187"/>
    </row>
    <row r="71" spans="1:8" x14ac:dyDescent="0.25">
      <c r="A71" s="185"/>
      <c r="B71" s="186"/>
      <c r="C71" s="187"/>
      <c r="D71" s="187"/>
      <c r="E71" s="187"/>
      <c r="F71" s="187"/>
      <c r="G71" s="187"/>
      <c r="H71" s="187"/>
    </row>
    <row r="72" spans="1:8" x14ac:dyDescent="0.25">
      <c r="A72" s="185"/>
      <c r="B72" s="186"/>
      <c r="C72" s="187"/>
      <c r="D72" s="187"/>
      <c r="E72" s="187"/>
      <c r="F72" s="187"/>
      <c r="G72" s="187"/>
      <c r="H72" s="187"/>
    </row>
    <row r="73" spans="1:8" x14ac:dyDescent="0.25">
      <c r="A73" s="185"/>
      <c r="B73" s="186"/>
      <c r="C73" s="187"/>
      <c r="D73" s="187"/>
      <c r="E73" s="187"/>
      <c r="F73" s="187"/>
      <c r="G73" s="187"/>
      <c r="H73" s="187"/>
    </row>
    <row r="74" spans="1:8" x14ac:dyDescent="0.25">
      <c r="A74" s="185"/>
      <c r="B74" s="186"/>
      <c r="C74" s="187"/>
      <c r="D74" s="187"/>
      <c r="E74" s="187"/>
      <c r="F74" s="187"/>
      <c r="G74" s="187"/>
      <c r="H74" s="187"/>
    </row>
    <row r="75" spans="1:8" x14ac:dyDescent="0.25">
      <c r="A75" s="185"/>
      <c r="B75" s="186"/>
      <c r="C75" s="187"/>
      <c r="D75" s="187"/>
      <c r="E75" s="187"/>
      <c r="F75" s="187"/>
      <c r="G75" s="187"/>
      <c r="H75" s="187"/>
    </row>
    <row r="76" spans="1:8" x14ac:dyDescent="0.25">
      <c r="A76" s="185"/>
      <c r="B76" s="186"/>
      <c r="C76" s="187"/>
      <c r="D76" s="187"/>
      <c r="E76" s="187"/>
      <c r="F76" s="187"/>
      <c r="G76" s="187"/>
      <c r="H76" s="187"/>
    </row>
    <row r="77" spans="1:8" x14ac:dyDescent="0.25">
      <c r="A77" s="185"/>
      <c r="B77" s="186"/>
      <c r="C77" s="187"/>
      <c r="D77" s="187"/>
      <c r="E77" s="187"/>
      <c r="F77" s="187"/>
      <c r="G77" s="187"/>
      <c r="H77" s="187"/>
    </row>
    <row r="78" spans="1:8" x14ac:dyDescent="0.25">
      <c r="A78" s="185"/>
      <c r="B78" s="186"/>
      <c r="C78" s="187"/>
      <c r="D78" s="187"/>
      <c r="E78" s="187"/>
      <c r="F78" s="187"/>
      <c r="G78" s="187"/>
      <c r="H78" s="187"/>
    </row>
    <row r="79" spans="1:8" x14ac:dyDescent="0.25">
      <c r="A79" s="185"/>
      <c r="B79" s="186"/>
      <c r="C79" s="187"/>
      <c r="D79" s="187"/>
      <c r="E79" s="187"/>
      <c r="F79" s="187"/>
      <c r="G79" s="187"/>
      <c r="H79" s="187"/>
    </row>
    <row r="80" spans="1:8" x14ac:dyDescent="0.25">
      <c r="A80" s="185"/>
      <c r="B80" s="186"/>
      <c r="C80" s="187"/>
      <c r="D80" s="187"/>
      <c r="E80" s="187"/>
      <c r="F80" s="187"/>
      <c r="G80" s="187"/>
      <c r="H80" s="187"/>
    </row>
    <row r="81" spans="1:8" x14ac:dyDescent="0.25">
      <c r="A81" s="185"/>
      <c r="B81" s="186"/>
      <c r="C81" s="187"/>
      <c r="D81" s="187"/>
      <c r="E81" s="187"/>
      <c r="F81" s="187"/>
      <c r="G81" s="187"/>
      <c r="H81" s="187"/>
    </row>
    <row r="82" spans="1:8" x14ac:dyDescent="0.25">
      <c r="A82" s="185"/>
      <c r="B82" s="186"/>
      <c r="C82" s="187"/>
      <c r="D82" s="187"/>
      <c r="E82" s="187"/>
      <c r="F82" s="187"/>
      <c r="G82" s="187"/>
      <c r="H82" s="187"/>
    </row>
    <row r="83" spans="1:8" x14ac:dyDescent="0.25">
      <c r="A83" s="185"/>
      <c r="B83" s="186"/>
      <c r="C83" s="187"/>
      <c r="D83" s="187"/>
      <c r="E83" s="187"/>
      <c r="F83" s="187"/>
      <c r="G83" s="187"/>
      <c r="H83" s="187"/>
    </row>
    <row r="84" spans="1:8" x14ac:dyDescent="0.25">
      <c r="A84" s="185"/>
      <c r="B84" s="186"/>
      <c r="C84" s="187"/>
      <c r="D84" s="187"/>
      <c r="E84" s="187"/>
      <c r="F84" s="187"/>
      <c r="G84" s="187"/>
      <c r="H84" s="187"/>
    </row>
    <row r="85" spans="1:8" x14ac:dyDescent="0.25">
      <c r="A85" s="185"/>
      <c r="B85" s="186"/>
      <c r="C85" s="187"/>
      <c r="D85" s="187"/>
      <c r="E85" s="187"/>
      <c r="F85" s="187"/>
      <c r="G85" s="187"/>
      <c r="H85" s="187"/>
    </row>
    <row r="86" spans="1:8" x14ac:dyDescent="0.25">
      <c r="A86" s="185"/>
      <c r="B86" s="186"/>
      <c r="C86" s="187"/>
      <c r="D86" s="187"/>
      <c r="E86" s="187"/>
      <c r="F86" s="187"/>
      <c r="G86" s="187"/>
      <c r="H86" s="187"/>
    </row>
    <row r="87" spans="1:8" x14ac:dyDescent="0.25">
      <c r="A87" s="185"/>
      <c r="B87" s="186"/>
      <c r="C87" s="187"/>
      <c r="D87" s="187"/>
      <c r="E87" s="187"/>
      <c r="F87" s="187"/>
      <c r="G87" s="187"/>
      <c r="H87" s="187"/>
    </row>
    <row r="88" spans="1:8" x14ac:dyDescent="0.25">
      <c r="A88" s="185"/>
      <c r="B88" s="186"/>
      <c r="C88" s="187"/>
      <c r="D88" s="187"/>
      <c r="E88" s="187"/>
      <c r="F88" s="187"/>
      <c r="G88" s="187"/>
      <c r="H88" s="187"/>
    </row>
    <row r="89" spans="1:8" x14ac:dyDescent="0.25">
      <c r="A89" s="185"/>
      <c r="B89" s="186"/>
      <c r="C89" s="187"/>
      <c r="D89" s="187"/>
      <c r="E89" s="187"/>
      <c r="F89" s="187"/>
      <c r="G89" s="187"/>
      <c r="H89" s="187"/>
    </row>
    <row r="90" spans="1:8" x14ac:dyDescent="0.25">
      <c r="A90" s="185"/>
      <c r="B90" s="186"/>
      <c r="C90" s="187"/>
      <c r="D90" s="187"/>
      <c r="E90" s="187"/>
      <c r="F90" s="187"/>
      <c r="G90" s="187"/>
      <c r="H90" s="187"/>
    </row>
    <row r="91" spans="1:8" x14ac:dyDescent="0.25">
      <c r="A91" s="185"/>
      <c r="B91" s="186"/>
      <c r="C91" s="187"/>
      <c r="D91" s="187"/>
      <c r="E91" s="187"/>
      <c r="F91" s="187"/>
      <c r="G91" s="187"/>
      <c r="H91" s="187"/>
    </row>
    <row r="92" spans="1:8" x14ac:dyDescent="0.25">
      <c r="A92" s="185"/>
      <c r="B92" s="186"/>
      <c r="C92" s="187"/>
      <c r="D92" s="187"/>
      <c r="E92" s="187"/>
      <c r="F92" s="187"/>
      <c r="G92" s="187"/>
      <c r="H92" s="187"/>
    </row>
    <row r="93" spans="1:8" x14ac:dyDescent="0.25">
      <c r="A93" s="185"/>
      <c r="B93" s="186"/>
      <c r="C93" s="187"/>
      <c r="D93" s="187"/>
      <c r="E93" s="187"/>
      <c r="F93" s="187"/>
      <c r="G93" s="187"/>
      <c r="H93" s="187"/>
    </row>
    <row r="94" spans="1:8" x14ac:dyDescent="0.25">
      <c r="A94" s="185"/>
      <c r="B94" s="186"/>
      <c r="C94" s="187"/>
      <c r="D94" s="187"/>
      <c r="E94" s="187"/>
      <c r="F94" s="187"/>
      <c r="G94" s="187"/>
      <c r="H94" s="187"/>
    </row>
  </sheetData>
  <autoFilter ref="A4:U51"/>
  <mergeCells count="54">
    <mergeCell ref="I1:J1"/>
    <mergeCell ref="Q1:R1"/>
    <mergeCell ref="A2:R2"/>
    <mergeCell ref="A3:A4"/>
    <mergeCell ref="B3:B4"/>
    <mergeCell ref="C3:C4"/>
    <mergeCell ref="D3:G3"/>
    <mergeCell ref="I3:Q3"/>
    <mergeCell ref="R3:R4"/>
    <mergeCell ref="A5:R5"/>
    <mergeCell ref="A6:R6"/>
    <mergeCell ref="A7:A33"/>
    <mergeCell ref="B7:B15"/>
    <mergeCell ref="C7:C15"/>
    <mergeCell ref="R7:R33"/>
    <mergeCell ref="B16:B32"/>
    <mergeCell ref="C16:C32"/>
    <mergeCell ref="A34:A36"/>
    <mergeCell ref="B34:B35"/>
    <mergeCell ref="C34:C35"/>
    <mergeCell ref="R34:R36"/>
    <mergeCell ref="A37:A38"/>
    <mergeCell ref="B37:B38"/>
    <mergeCell ref="C37:C38"/>
    <mergeCell ref="R37:R38"/>
    <mergeCell ref="A46:A47"/>
    <mergeCell ref="B46:B47"/>
    <mergeCell ref="C46:C47"/>
    <mergeCell ref="R46:R47"/>
    <mergeCell ref="A39:A40"/>
    <mergeCell ref="B39:B40"/>
    <mergeCell ref="C39:C40"/>
    <mergeCell ref="R39:R40"/>
    <mergeCell ref="A41:A42"/>
    <mergeCell ref="B41:B42"/>
    <mergeCell ref="C41:C42"/>
    <mergeCell ref="R41:R42"/>
    <mergeCell ref="A43:A44"/>
    <mergeCell ref="B43:B44"/>
    <mergeCell ref="C43:C45"/>
    <mergeCell ref="D43:D44"/>
    <mergeCell ref="R43:R44"/>
    <mergeCell ref="A57:C57"/>
    <mergeCell ref="A48:A49"/>
    <mergeCell ref="B48:B49"/>
    <mergeCell ref="C48:C49"/>
    <mergeCell ref="R48:R49"/>
    <mergeCell ref="A50:B50"/>
    <mergeCell ref="A51:B51"/>
    <mergeCell ref="A52:B52"/>
    <mergeCell ref="A53:B53"/>
    <mergeCell ref="A54:B54"/>
    <mergeCell ref="A55:B55"/>
    <mergeCell ref="A56:B56"/>
  </mergeCells>
  <pageMargins left="0.51181102362204722" right="0.39370078740157483" top="0.55118110236220474" bottom="0.35433070866141736" header="0.31496062992125984" footer="0.31496062992125984"/>
  <pageSetup paperSize="9" scale="38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1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K15" sqref="K15"/>
    </sheetView>
  </sheetViews>
  <sheetFormatPr defaultRowHeight="15.75" x14ac:dyDescent="0.25"/>
  <cols>
    <col min="1" max="1" width="6.28515625" style="126" customWidth="1"/>
    <col min="2" max="2" width="79.140625" style="34" customWidth="1"/>
    <col min="3" max="3" width="12" style="34" customWidth="1"/>
    <col min="4" max="4" width="11.42578125" style="34" hidden="1" customWidth="1"/>
    <col min="5" max="7" width="11.42578125" style="34" customWidth="1"/>
    <col min="8" max="10" width="11.42578125" style="57" customWidth="1"/>
    <col min="11" max="11" width="9.140625" style="57"/>
    <col min="12" max="12" width="8.140625" style="34" customWidth="1"/>
    <col min="13" max="16384" width="9.140625" style="34"/>
  </cols>
  <sheetData>
    <row r="1" spans="1:16" ht="36.75" customHeight="1" x14ac:dyDescent="0.25">
      <c r="A1" s="69"/>
      <c r="B1" s="70"/>
      <c r="C1" s="71"/>
      <c r="E1" s="362" t="s">
        <v>324</v>
      </c>
      <c r="F1" s="362"/>
      <c r="G1" s="362"/>
      <c r="H1" s="362"/>
      <c r="I1" s="362"/>
      <c r="J1" s="362"/>
      <c r="K1" s="362"/>
      <c r="L1" s="362"/>
    </row>
    <row r="2" spans="1:16" ht="37.5" customHeight="1" x14ac:dyDescent="0.25">
      <c r="A2" s="381" t="s">
        <v>246</v>
      </c>
      <c r="B2" s="381"/>
      <c r="C2" s="381"/>
      <c r="D2" s="381"/>
      <c r="E2" s="381"/>
      <c r="F2" s="381"/>
      <c r="G2" s="381"/>
      <c r="H2" s="381"/>
      <c r="I2" s="381"/>
      <c r="J2" s="381"/>
    </row>
    <row r="3" spans="1:16" ht="25.5" customHeight="1" x14ac:dyDescent="0.25">
      <c r="A3" s="364" t="s">
        <v>89</v>
      </c>
      <c r="B3" s="355" t="s">
        <v>247</v>
      </c>
      <c r="C3" s="355" t="s">
        <v>91</v>
      </c>
      <c r="D3" s="321" t="s">
        <v>94</v>
      </c>
      <c r="E3" s="321" t="s">
        <v>41</v>
      </c>
      <c r="F3" s="321" t="s">
        <v>42</v>
      </c>
      <c r="G3" s="321" t="s">
        <v>43</v>
      </c>
      <c r="H3" s="341" t="s">
        <v>44</v>
      </c>
      <c r="I3" s="341" t="s">
        <v>45</v>
      </c>
      <c r="J3" s="341" t="s">
        <v>46</v>
      </c>
      <c r="K3" s="341" t="s">
        <v>47</v>
      </c>
      <c r="L3" s="341" t="s">
        <v>48</v>
      </c>
      <c r="M3" s="341" t="s">
        <v>49</v>
      </c>
    </row>
    <row r="4" spans="1:16" ht="12.75" customHeight="1" x14ac:dyDescent="0.25">
      <c r="A4" s="364"/>
      <c r="B4" s="355"/>
      <c r="C4" s="355"/>
      <c r="D4" s="321"/>
      <c r="E4" s="321"/>
      <c r="F4" s="321"/>
      <c r="G4" s="321"/>
      <c r="H4" s="341"/>
      <c r="I4" s="341"/>
      <c r="J4" s="341"/>
      <c r="K4" s="341"/>
      <c r="L4" s="341"/>
      <c r="M4" s="341"/>
    </row>
    <row r="5" spans="1:16" ht="25.5" customHeight="1" x14ac:dyDescent="0.25">
      <c r="A5" s="364"/>
      <c r="B5" s="355"/>
      <c r="C5" s="355"/>
      <c r="D5" s="321"/>
      <c r="E5" s="321"/>
      <c r="F5" s="321"/>
      <c r="G5" s="321"/>
      <c r="H5" s="341"/>
      <c r="I5" s="341"/>
      <c r="J5" s="341"/>
      <c r="K5" s="341"/>
      <c r="L5" s="341"/>
      <c r="M5" s="341"/>
    </row>
    <row r="6" spans="1:16" ht="35.1" customHeight="1" x14ac:dyDescent="0.25">
      <c r="A6" s="437" t="s">
        <v>325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  <c r="L6" s="439"/>
    </row>
    <row r="7" spans="1:16" ht="35.1" customHeight="1" x14ac:dyDescent="0.25">
      <c r="A7" s="434" t="s">
        <v>326</v>
      </c>
      <c r="B7" s="435"/>
      <c r="C7" s="435"/>
      <c r="D7" s="435"/>
      <c r="E7" s="435"/>
      <c r="F7" s="435"/>
      <c r="G7" s="435"/>
      <c r="H7" s="435"/>
      <c r="I7" s="435"/>
      <c r="J7" s="435"/>
      <c r="K7" s="435"/>
      <c r="L7" s="436"/>
    </row>
    <row r="8" spans="1:16" ht="35.1" customHeight="1" x14ac:dyDescent="0.25">
      <c r="A8" s="22" t="s">
        <v>250</v>
      </c>
      <c r="B8" s="190" t="s">
        <v>327</v>
      </c>
      <c r="C8" s="21" t="s">
        <v>97</v>
      </c>
      <c r="D8" s="191">
        <v>546.29999999999995</v>
      </c>
      <c r="E8" s="91">
        <v>57.12</v>
      </c>
      <c r="F8" s="91">
        <v>71.400000000000006</v>
      </c>
      <c r="G8" s="91">
        <v>85.7</v>
      </c>
      <c r="H8" s="103">
        <v>85.7</v>
      </c>
      <c r="I8" s="85">
        <v>85.7</v>
      </c>
      <c r="J8" s="85">
        <v>85.7</v>
      </c>
      <c r="K8" s="85">
        <v>85.7</v>
      </c>
      <c r="L8" s="85">
        <v>85.7</v>
      </c>
      <c r="M8" s="85">
        <v>85.7</v>
      </c>
    </row>
    <row r="9" spans="1:16" s="57" customFormat="1" ht="35.1" customHeight="1" x14ac:dyDescent="0.25">
      <c r="A9" s="139" t="s">
        <v>251</v>
      </c>
      <c r="B9" s="192" t="s">
        <v>129</v>
      </c>
      <c r="C9" s="23" t="s">
        <v>97</v>
      </c>
      <c r="D9" s="62">
        <v>80</v>
      </c>
      <c r="E9" s="103">
        <v>75</v>
      </c>
      <c r="F9" s="103">
        <v>75</v>
      </c>
      <c r="G9" s="103">
        <v>75</v>
      </c>
      <c r="H9" s="103">
        <v>85</v>
      </c>
      <c r="I9" s="103">
        <v>85</v>
      </c>
      <c r="J9" s="103">
        <v>85</v>
      </c>
      <c r="K9" s="103">
        <v>85</v>
      </c>
      <c r="L9" s="103">
        <v>85</v>
      </c>
      <c r="M9" s="103">
        <v>85</v>
      </c>
      <c r="N9" s="193"/>
      <c r="O9" s="193"/>
      <c r="P9" s="193"/>
    </row>
    <row r="10" spans="1:16" ht="35.1" customHeight="1" x14ac:dyDescent="0.25">
      <c r="A10" s="22" t="s">
        <v>252</v>
      </c>
      <c r="B10" s="194" t="s">
        <v>131</v>
      </c>
      <c r="C10" s="21" t="s">
        <v>132</v>
      </c>
      <c r="D10" s="21" t="s">
        <v>127</v>
      </c>
      <c r="E10" s="91">
        <v>9</v>
      </c>
      <c r="F10" s="93">
        <v>8</v>
      </c>
      <c r="G10" s="93">
        <v>8</v>
      </c>
      <c r="H10" s="103">
        <v>8</v>
      </c>
      <c r="I10" s="85">
        <v>8</v>
      </c>
      <c r="J10" s="85">
        <v>8</v>
      </c>
      <c r="K10" s="85">
        <v>8</v>
      </c>
      <c r="L10" s="85">
        <v>8</v>
      </c>
      <c r="M10" s="85">
        <v>8</v>
      </c>
    </row>
    <row r="11" spans="1:16" ht="35.1" customHeight="1" x14ac:dyDescent="0.25">
      <c r="A11" s="22" t="s">
        <v>254</v>
      </c>
      <c r="B11" s="194" t="s">
        <v>134</v>
      </c>
      <c r="C11" s="21" t="s">
        <v>97</v>
      </c>
      <c r="D11" s="21"/>
      <c r="E11" s="91">
        <v>100</v>
      </c>
      <c r="F11" s="93">
        <v>100</v>
      </c>
      <c r="G11" s="93">
        <v>100</v>
      </c>
      <c r="H11" s="103">
        <v>100</v>
      </c>
      <c r="I11" s="85">
        <v>100</v>
      </c>
      <c r="J11" s="85">
        <v>100</v>
      </c>
      <c r="K11" s="85">
        <v>100</v>
      </c>
      <c r="L11" s="85">
        <v>100</v>
      </c>
      <c r="M11" s="85">
        <v>100</v>
      </c>
    </row>
    <row r="12" spans="1:16" ht="35.1" customHeight="1" x14ac:dyDescent="0.25">
      <c r="A12" s="22" t="s">
        <v>328</v>
      </c>
      <c r="B12" s="194" t="s">
        <v>136</v>
      </c>
      <c r="C12" s="21" t="s">
        <v>132</v>
      </c>
      <c r="D12" s="21" t="s">
        <v>127</v>
      </c>
      <c r="E12" s="91">
        <v>6</v>
      </c>
      <c r="F12" s="93">
        <v>7</v>
      </c>
      <c r="G12" s="93">
        <v>7</v>
      </c>
      <c r="H12" s="103">
        <v>7</v>
      </c>
      <c r="I12" s="103">
        <v>7</v>
      </c>
      <c r="J12" s="103">
        <v>7</v>
      </c>
      <c r="K12" s="103">
        <v>7</v>
      </c>
      <c r="L12" s="103">
        <v>7</v>
      </c>
      <c r="M12" s="103">
        <v>7</v>
      </c>
    </row>
    <row r="13" spans="1:16" ht="35.1" customHeight="1" x14ac:dyDescent="0.25">
      <c r="A13" s="434" t="s">
        <v>329</v>
      </c>
      <c r="B13" s="435"/>
      <c r="C13" s="435"/>
      <c r="D13" s="435"/>
      <c r="E13" s="435"/>
      <c r="F13" s="435"/>
      <c r="G13" s="435"/>
      <c r="H13" s="435"/>
      <c r="I13" s="435"/>
      <c r="J13" s="435"/>
      <c r="K13" s="435"/>
      <c r="L13" s="436"/>
    </row>
    <row r="14" spans="1:16" ht="31.5" x14ac:dyDescent="0.25">
      <c r="A14" s="22" t="s">
        <v>330</v>
      </c>
      <c r="B14" s="194" t="s">
        <v>139</v>
      </c>
      <c r="C14" s="75" t="s">
        <v>97</v>
      </c>
      <c r="D14" s="75">
        <v>1.96</v>
      </c>
      <c r="E14" s="91">
        <v>87.5</v>
      </c>
      <c r="F14" s="93">
        <v>100</v>
      </c>
      <c r="G14" s="93">
        <v>100</v>
      </c>
      <c r="H14" s="103">
        <v>100</v>
      </c>
      <c r="I14" s="99">
        <v>100</v>
      </c>
      <c r="J14" s="99">
        <v>100</v>
      </c>
      <c r="K14" s="99">
        <v>100</v>
      </c>
      <c r="L14" s="99">
        <v>100</v>
      </c>
      <c r="M14" s="99">
        <v>100</v>
      </c>
    </row>
    <row r="15" spans="1:16" ht="31.5" x14ac:dyDescent="0.25">
      <c r="A15" s="22" t="s">
        <v>331</v>
      </c>
      <c r="B15" s="194" t="s">
        <v>141</v>
      </c>
      <c r="C15" s="21" t="s">
        <v>97</v>
      </c>
      <c r="D15" s="84">
        <v>2.34</v>
      </c>
      <c r="E15" s="91">
        <v>85</v>
      </c>
      <c r="F15" s="93">
        <v>89</v>
      </c>
      <c r="G15" s="93">
        <v>90</v>
      </c>
      <c r="H15" s="103">
        <v>90</v>
      </c>
      <c r="I15" s="99">
        <v>95</v>
      </c>
      <c r="J15" s="99">
        <v>95</v>
      </c>
      <c r="K15" s="99">
        <v>95</v>
      </c>
      <c r="L15" s="99">
        <v>95</v>
      </c>
      <c r="M15" s="99">
        <v>95</v>
      </c>
    </row>
    <row r="16" spans="1:16" ht="63" x14ac:dyDescent="0.25">
      <c r="A16" s="22" t="s">
        <v>332</v>
      </c>
      <c r="B16" s="194" t="s">
        <v>143</v>
      </c>
      <c r="C16" s="21" t="s">
        <v>97</v>
      </c>
      <c r="D16" s="84"/>
      <c r="E16" s="91">
        <v>10.199999999999999</v>
      </c>
      <c r="F16" s="93">
        <v>10.1</v>
      </c>
      <c r="G16" s="93">
        <v>10.1</v>
      </c>
      <c r="H16" s="103">
        <v>9.1</v>
      </c>
      <c r="I16" s="99">
        <v>9.5</v>
      </c>
      <c r="J16" s="99">
        <v>10.1</v>
      </c>
      <c r="K16" s="99">
        <v>10.1</v>
      </c>
      <c r="L16" s="99">
        <v>10.1</v>
      </c>
      <c r="M16" s="99">
        <v>10.1</v>
      </c>
    </row>
    <row r="17" spans="1:20" ht="63" x14ac:dyDescent="0.25">
      <c r="A17" s="22" t="s">
        <v>333</v>
      </c>
      <c r="B17" s="194" t="s">
        <v>145</v>
      </c>
      <c r="C17" s="21" t="s">
        <v>97</v>
      </c>
      <c r="D17" s="84"/>
      <c r="E17" s="91">
        <v>1.1299999999999999</v>
      </c>
      <c r="F17" s="93">
        <v>1.57</v>
      </c>
      <c r="G17" s="93">
        <v>1.72</v>
      </c>
      <c r="H17" s="103">
        <v>1.86</v>
      </c>
      <c r="I17" s="103">
        <v>1.87</v>
      </c>
      <c r="J17" s="103">
        <v>1.9</v>
      </c>
      <c r="K17" s="103">
        <v>1.9</v>
      </c>
      <c r="L17" s="103">
        <v>1.9</v>
      </c>
      <c r="M17" s="103">
        <v>1.9</v>
      </c>
    </row>
    <row r="18" spans="1:20" ht="47.25" x14ac:dyDescent="0.25">
      <c r="A18" s="22" t="s">
        <v>334</v>
      </c>
      <c r="B18" s="194" t="s">
        <v>147</v>
      </c>
      <c r="C18" s="21" t="s">
        <v>97</v>
      </c>
      <c r="D18" s="84"/>
      <c r="E18" s="91">
        <v>39</v>
      </c>
      <c r="F18" s="91">
        <v>41</v>
      </c>
      <c r="G18" s="91">
        <v>41</v>
      </c>
      <c r="H18" s="103">
        <v>42.5</v>
      </c>
      <c r="I18" s="99">
        <v>48.8</v>
      </c>
      <c r="J18" s="99">
        <v>50.2</v>
      </c>
      <c r="K18" s="99">
        <v>50.2</v>
      </c>
      <c r="L18" s="99">
        <v>50.2</v>
      </c>
      <c r="M18" s="99">
        <v>50.2</v>
      </c>
    </row>
    <row r="19" spans="1:20" ht="63" x14ac:dyDescent="0.25">
      <c r="A19" s="22" t="s">
        <v>335</v>
      </c>
      <c r="B19" s="190" t="s">
        <v>149</v>
      </c>
      <c r="C19" s="6" t="s">
        <v>97</v>
      </c>
      <c r="D19" s="84"/>
      <c r="E19" s="91">
        <v>1.96</v>
      </c>
      <c r="F19" s="91">
        <v>0</v>
      </c>
      <c r="G19" s="91">
        <v>0</v>
      </c>
      <c r="H19" s="103">
        <v>0</v>
      </c>
      <c r="I19" s="99">
        <v>0</v>
      </c>
      <c r="J19" s="99">
        <v>0</v>
      </c>
      <c r="K19" s="99">
        <v>0</v>
      </c>
      <c r="L19" s="99">
        <v>0</v>
      </c>
      <c r="M19" s="99">
        <v>0</v>
      </c>
    </row>
    <row r="20" spans="1:20" ht="47.25" x14ac:dyDescent="0.25">
      <c r="A20" s="22" t="s">
        <v>336</v>
      </c>
      <c r="B20" s="190" t="s">
        <v>151</v>
      </c>
      <c r="C20" s="6" t="s">
        <v>97</v>
      </c>
      <c r="D20" s="84"/>
      <c r="E20" s="91">
        <v>93.4</v>
      </c>
      <c r="F20" s="103">
        <v>93.5</v>
      </c>
      <c r="G20" s="103">
        <v>93.5</v>
      </c>
      <c r="H20" s="103">
        <v>93.5</v>
      </c>
      <c r="I20" s="99">
        <v>95</v>
      </c>
      <c r="J20" s="99">
        <v>95</v>
      </c>
      <c r="K20" s="99">
        <v>95</v>
      </c>
      <c r="L20" s="99">
        <v>95</v>
      </c>
      <c r="M20" s="99">
        <v>95</v>
      </c>
    </row>
    <row r="21" spans="1:20" ht="47.25" x14ac:dyDescent="0.25">
      <c r="A21" s="22" t="s">
        <v>337</v>
      </c>
      <c r="B21" s="190" t="s">
        <v>153</v>
      </c>
      <c r="C21" s="6" t="s">
        <v>97</v>
      </c>
      <c r="D21" s="84"/>
      <c r="E21" s="91">
        <v>92</v>
      </c>
      <c r="F21" s="103">
        <v>92</v>
      </c>
      <c r="G21" s="99">
        <v>92</v>
      </c>
      <c r="H21" s="99">
        <v>92</v>
      </c>
      <c r="I21" s="99">
        <v>92</v>
      </c>
      <c r="J21" s="99">
        <v>92</v>
      </c>
      <c r="K21" s="99">
        <v>92</v>
      </c>
      <c r="L21" s="99">
        <v>92</v>
      </c>
      <c r="M21" s="99">
        <v>92</v>
      </c>
    </row>
    <row r="22" spans="1:20" ht="31.5" x14ac:dyDescent="0.25">
      <c r="A22" s="22" t="s">
        <v>338</v>
      </c>
      <c r="B22" s="194" t="s">
        <v>155</v>
      </c>
      <c r="C22" s="5" t="s">
        <v>97</v>
      </c>
      <c r="D22" s="84"/>
      <c r="E22" s="91">
        <v>96</v>
      </c>
      <c r="F22" s="93">
        <v>96.5</v>
      </c>
      <c r="G22" s="95">
        <v>97</v>
      </c>
      <c r="H22" s="99">
        <v>97</v>
      </c>
      <c r="I22" s="99">
        <v>98</v>
      </c>
      <c r="J22" s="99">
        <v>98</v>
      </c>
      <c r="K22" s="99">
        <v>98</v>
      </c>
      <c r="L22" s="99">
        <v>98</v>
      </c>
      <c r="M22" s="99">
        <v>98</v>
      </c>
    </row>
    <row r="23" spans="1:20" ht="94.5" x14ac:dyDescent="0.25">
      <c r="A23" s="22" t="s">
        <v>339</v>
      </c>
      <c r="B23" s="190" t="s">
        <v>157</v>
      </c>
      <c r="C23" s="5" t="s">
        <v>97</v>
      </c>
      <c r="D23" s="84"/>
      <c r="E23" s="91">
        <v>2.5</v>
      </c>
      <c r="F23" s="93">
        <v>3</v>
      </c>
      <c r="G23" s="95">
        <v>3.4</v>
      </c>
      <c r="H23" s="99">
        <v>2.4</v>
      </c>
      <c r="I23" s="99">
        <v>2.8</v>
      </c>
      <c r="J23" s="99">
        <v>2.8</v>
      </c>
      <c r="K23" s="99">
        <v>2.8</v>
      </c>
      <c r="L23" s="99">
        <v>2.8</v>
      </c>
      <c r="M23" s="99">
        <v>2.8</v>
      </c>
    </row>
    <row r="24" spans="1:20" x14ac:dyDescent="0.25">
      <c r="A24" s="434" t="s">
        <v>340</v>
      </c>
      <c r="B24" s="435"/>
      <c r="C24" s="435"/>
      <c r="D24" s="435"/>
      <c r="E24" s="435"/>
      <c r="F24" s="435"/>
      <c r="G24" s="435"/>
      <c r="H24" s="435"/>
      <c r="I24" s="435"/>
      <c r="J24" s="435"/>
      <c r="K24" s="435"/>
      <c r="L24" s="436"/>
    </row>
    <row r="25" spans="1:20" ht="31.5" x14ac:dyDescent="0.25">
      <c r="A25" s="104" t="s">
        <v>341</v>
      </c>
      <c r="B25" s="194" t="s">
        <v>160</v>
      </c>
      <c r="C25" s="21" t="s">
        <v>97</v>
      </c>
      <c r="D25" s="75"/>
      <c r="E25" s="91">
        <v>75</v>
      </c>
      <c r="F25" s="93">
        <v>75</v>
      </c>
      <c r="G25" s="105">
        <v>75</v>
      </c>
      <c r="H25" s="78">
        <v>93</v>
      </c>
      <c r="I25" s="78">
        <v>93.2</v>
      </c>
      <c r="J25" s="78">
        <v>93.4</v>
      </c>
      <c r="K25" s="78">
        <v>93.5</v>
      </c>
      <c r="L25" s="78">
        <v>93.5</v>
      </c>
      <c r="M25" s="78">
        <v>93.5</v>
      </c>
      <c r="N25" s="195"/>
      <c r="O25" s="195"/>
      <c r="P25" s="195"/>
      <c r="Q25" s="195"/>
      <c r="R25" s="195"/>
      <c r="S25" s="195"/>
      <c r="T25" s="195"/>
    </row>
    <row r="26" spans="1:20" ht="31.5" x14ac:dyDescent="0.25">
      <c r="A26" s="104" t="s">
        <v>342</v>
      </c>
      <c r="B26" s="192" t="s">
        <v>343</v>
      </c>
      <c r="C26" s="21" t="s">
        <v>97</v>
      </c>
      <c r="D26" s="75"/>
      <c r="E26" s="91">
        <v>67</v>
      </c>
      <c r="F26" s="93">
        <v>70</v>
      </c>
      <c r="G26" s="105">
        <v>72</v>
      </c>
      <c r="H26" s="78">
        <v>95</v>
      </c>
      <c r="I26" s="78">
        <v>95</v>
      </c>
      <c r="J26" s="78">
        <v>96</v>
      </c>
      <c r="K26" s="78">
        <v>97</v>
      </c>
      <c r="L26" s="78">
        <v>97</v>
      </c>
      <c r="M26" s="78">
        <v>97</v>
      </c>
      <c r="N26" s="195"/>
      <c r="O26" s="195"/>
      <c r="P26" s="195"/>
      <c r="Q26" s="195"/>
      <c r="R26" s="195"/>
      <c r="S26" s="195"/>
      <c r="T26" s="195"/>
    </row>
    <row r="27" spans="1:20" ht="47.25" x14ac:dyDescent="0.25">
      <c r="A27" s="104" t="s">
        <v>344</v>
      </c>
      <c r="B27" s="190" t="s">
        <v>345</v>
      </c>
      <c r="C27" s="21" t="s">
        <v>97</v>
      </c>
      <c r="D27" s="75">
        <v>78.400000000000006</v>
      </c>
      <c r="E27" s="105">
        <v>81</v>
      </c>
      <c r="F27" s="105">
        <v>83</v>
      </c>
      <c r="G27" s="105">
        <v>85</v>
      </c>
      <c r="H27" s="78">
        <v>85</v>
      </c>
      <c r="I27" s="78">
        <v>85</v>
      </c>
      <c r="J27" s="78">
        <v>85</v>
      </c>
      <c r="K27" s="78">
        <v>85</v>
      </c>
      <c r="L27" s="78">
        <v>85</v>
      </c>
      <c r="M27" s="78">
        <v>85</v>
      </c>
    </row>
    <row r="28" spans="1:20" ht="31.5" x14ac:dyDescent="0.25">
      <c r="A28" s="104" t="s">
        <v>346</v>
      </c>
      <c r="B28" s="190" t="s">
        <v>164</v>
      </c>
      <c r="C28" s="21" t="s">
        <v>97</v>
      </c>
      <c r="D28" s="75"/>
      <c r="E28" s="91">
        <v>15</v>
      </c>
      <c r="F28" s="93">
        <v>15</v>
      </c>
      <c r="G28" s="105">
        <v>16.5</v>
      </c>
      <c r="H28" s="78">
        <v>18.3</v>
      </c>
      <c r="I28" s="78">
        <v>19.100000000000001</v>
      </c>
      <c r="J28" s="78">
        <v>19.5</v>
      </c>
      <c r="K28" s="78">
        <v>19.5</v>
      </c>
      <c r="L28" s="78">
        <v>19.5</v>
      </c>
      <c r="M28" s="78">
        <v>19.5</v>
      </c>
    </row>
    <row r="29" spans="1:20" x14ac:dyDescent="0.25">
      <c r="A29" s="148"/>
      <c r="B29" s="149"/>
      <c r="C29" s="73"/>
      <c r="D29" s="150"/>
      <c r="E29" s="150"/>
      <c r="F29" s="150"/>
      <c r="G29" s="150"/>
      <c r="H29" s="151"/>
      <c r="I29" s="151"/>
      <c r="J29" s="151"/>
    </row>
    <row r="30" spans="1:20" ht="20.25" customHeight="1" x14ac:dyDescent="0.25">
      <c r="A30" s="148"/>
      <c r="B30" s="149"/>
      <c r="C30" s="73"/>
      <c r="D30" s="150"/>
      <c r="E30" s="150"/>
      <c r="F30" s="150"/>
      <c r="G30" s="150"/>
      <c r="H30" s="151"/>
      <c r="I30" s="151"/>
      <c r="J30" s="151"/>
    </row>
    <row r="31" spans="1:20" ht="26.25" customHeight="1" x14ac:dyDescent="0.3">
      <c r="A31" s="196" t="s">
        <v>33</v>
      </c>
      <c r="B31" s="196"/>
      <c r="C31" s="196"/>
      <c r="D31" s="197"/>
      <c r="E31" s="197"/>
      <c r="F31" s="197"/>
      <c r="G31" s="198"/>
      <c r="H31" s="199" t="s">
        <v>34</v>
      </c>
      <c r="I31" s="199"/>
      <c r="J31" s="200"/>
    </row>
  </sheetData>
  <mergeCells count="19"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  <mergeCell ref="A7:L7"/>
    <mergeCell ref="A13:L13"/>
    <mergeCell ref="A24:L24"/>
    <mergeCell ref="I3:I5"/>
    <mergeCell ref="J3:J5"/>
    <mergeCell ref="K3:K5"/>
    <mergeCell ref="L3:L5"/>
  </mergeCells>
  <pageMargins left="0.31496062992125984" right="0.31496062992125984" top="0.55118110236220474" bottom="0.35433070866141736" header="0.31496062992125984" footer="0.31496062992125984"/>
  <pageSetup paperSize="9" scale="74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55"/>
  <sheetViews>
    <sheetView view="pageBreakPreview" topLeftCell="E1" zoomScale="98" zoomScaleNormal="98" zoomScaleSheetLayoutView="98" workbookViewId="0">
      <selection activeCell="R8" sqref="R8:R19"/>
    </sheetView>
  </sheetViews>
  <sheetFormatPr defaultColWidth="9.28515625" defaultRowHeight="15.75" x14ac:dyDescent="0.25"/>
  <cols>
    <col min="1" max="1" width="6.5703125" style="188" customWidth="1"/>
    <col min="2" max="2" width="60.7109375" style="256" customWidth="1"/>
    <col min="3" max="3" width="21.7109375" style="189" customWidth="1"/>
    <col min="4" max="5" width="9.28515625" style="189"/>
    <col min="6" max="6" width="14.85546875" style="189" customWidth="1"/>
    <col min="7" max="7" width="12.42578125" style="189" customWidth="1"/>
    <col min="8" max="8" width="12.7109375" style="189" customWidth="1"/>
    <col min="9" max="12" width="12.7109375" style="34" customWidth="1"/>
    <col min="13" max="13" width="15.28515625" style="34" customWidth="1"/>
    <col min="14" max="16" width="12.7109375" style="34" customWidth="1"/>
    <col min="17" max="17" width="17.140625" style="34" customWidth="1"/>
    <col min="18" max="18" width="55.5703125" style="34" customWidth="1"/>
    <col min="19" max="19" width="12" style="34" customWidth="1"/>
    <col min="20" max="20" width="15.42578125" style="34" customWidth="1"/>
    <col min="21" max="21" width="21.28515625" style="34" customWidth="1"/>
    <col min="22" max="16384" width="9.28515625" style="34"/>
  </cols>
  <sheetData>
    <row r="1" spans="1:21" s="133" customFormat="1" ht="39" customHeight="1" x14ac:dyDescent="0.25">
      <c r="A1" s="155"/>
      <c r="B1" s="201"/>
      <c r="C1" s="157"/>
      <c r="D1" s="157"/>
      <c r="E1" s="157"/>
      <c r="F1" s="157"/>
      <c r="G1" s="157"/>
      <c r="H1" s="157"/>
      <c r="I1" s="431"/>
      <c r="J1" s="431"/>
      <c r="O1" s="362" t="s">
        <v>347</v>
      </c>
      <c r="P1" s="362"/>
      <c r="Q1" s="362"/>
      <c r="R1" s="362"/>
      <c r="S1" s="158"/>
      <c r="T1" s="158"/>
      <c r="U1" s="158"/>
    </row>
    <row r="2" spans="1:21" s="133" customFormat="1" ht="23.25" customHeight="1" x14ac:dyDescent="0.25">
      <c r="A2" s="433" t="s">
        <v>258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202"/>
    </row>
    <row r="3" spans="1:21" s="133" customFormat="1" ht="24.75" customHeight="1" x14ac:dyDescent="0.25">
      <c r="A3" s="321" t="s">
        <v>89</v>
      </c>
      <c r="B3" s="328" t="s">
        <v>259</v>
      </c>
      <c r="C3" s="321" t="s">
        <v>7</v>
      </c>
      <c r="D3" s="321" t="s">
        <v>5</v>
      </c>
      <c r="E3" s="321"/>
      <c r="F3" s="321"/>
      <c r="G3" s="321"/>
      <c r="H3" s="321" t="s">
        <v>6</v>
      </c>
      <c r="I3" s="321"/>
      <c r="J3" s="321"/>
      <c r="K3" s="321"/>
      <c r="L3" s="321"/>
      <c r="M3" s="321"/>
      <c r="N3" s="321"/>
      <c r="O3" s="321"/>
      <c r="P3" s="321"/>
      <c r="Q3" s="321"/>
      <c r="R3" s="321" t="s">
        <v>260</v>
      </c>
    </row>
    <row r="4" spans="1:21" s="133" customFormat="1" ht="42" customHeight="1" x14ac:dyDescent="0.25">
      <c r="A4" s="321"/>
      <c r="B4" s="328"/>
      <c r="C4" s="321"/>
      <c r="D4" s="6" t="s">
        <v>7</v>
      </c>
      <c r="E4" s="6" t="s">
        <v>8</v>
      </c>
      <c r="F4" s="6" t="s">
        <v>9</v>
      </c>
      <c r="G4" s="6" t="s">
        <v>10</v>
      </c>
      <c r="H4" s="6">
        <v>2014</v>
      </c>
      <c r="I4" s="6">
        <v>2015</v>
      </c>
      <c r="J4" s="6">
        <v>2016</v>
      </c>
      <c r="K4" s="6">
        <v>2017</v>
      </c>
      <c r="L4" s="6">
        <v>2018</v>
      </c>
      <c r="M4" s="6">
        <v>2019</v>
      </c>
      <c r="N4" s="6">
        <v>2020</v>
      </c>
      <c r="O4" s="6">
        <v>2021</v>
      </c>
      <c r="P4" s="6">
        <v>2022</v>
      </c>
      <c r="Q4" s="6" t="s">
        <v>11</v>
      </c>
      <c r="R4" s="321"/>
    </row>
    <row r="5" spans="1:21" ht="26.25" customHeight="1" x14ac:dyDescent="0.25">
      <c r="A5" s="328" t="s">
        <v>348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8"/>
      <c r="O5" s="328"/>
      <c r="P5" s="328"/>
      <c r="Q5" s="328"/>
      <c r="R5" s="328"/>
    </row>
    <row r="6" spans="1:21" ht="24" customHeight="1" x14ac:dyDescent="0.25">
      <c r="A6" s="423" t="s">
        <v>326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</row>
    <row r="7" spans="1:21" s="153" customFormat="1" ht="79.5" customHeight="1" x14ac:dyDescent="0.2">
      <c r="A7" s="22" t="s">
        <v>125</v>
      </c>
      <c r="B7" s="20" t="s">
        <v>349</v>
      </c>
      <c r="C7" s="6" t="s">
        <v>17</v>
      </c>
      <c r="D7" s="203">
        <v>975</v>
      </c>
      <c r="E7" s="203" t="s">
        <v>350</v>
      </c>
      <c r="F7" s="203" t="s">
        <v>351</v>
      </c>
      <c r="G7" s="203" t="s">
        <v>352</v>
      </c>
      <c r="H7" s="204">
        <v>1103.3</v>
      </c>
      <c r="I7" s="204">
        <v>0</v>
      </c>
      <c r="J7" s="204">
        <v>0</v>
      </c>
      <c r="K7" s="204">
        <f>479.9+800+106.1</f>
        <v>1386</v>
      </c>
      <c r="L7" s="204"/>
      <c r="M7" s="204"/>
      <c r="N7" s="204"/>
      <c r="O7" s="204"/>
      <c r="P7" s="204">
        <f>O7</f>
        <v>0</v>
      </c>
      <c r="Q7" s="204">
        <f>SUM(H7:P7)</f>
        <v>2489.3000000000002</v>
      </c>
      <c r="R7" s="205" t="s">
        <v>353</v>
      </c>
      <c r="S7" s="206"/>
    </row>
    <row r="8" spans="1:21" ht="35.1" customHeight="1" x14ac:dyDescent="0.25">
      <c r="A8" s="451" t="s">
        <v>128</v>
      </c>
      <c r="B8" s="455" t="s">
        <v>354</v>
      </c>
      <c r="C8" s="316" t="s">
        <v>17</v>
      </c>
      <c r="D8" s="207" t="s">
        <v>18</v>
      </c>
      <c r="E8" s="207" t="s">
        <v>350</v>
      </c>
      <c r="F8" s="207" t="s">
        <v>355</v>
      </c>
      <c r="G8" s="207" t="s">
        <v>267</v>
      </c>
      <c r="H8" s="204">
        <v>2319.5</v>
      </c>
      <c r="I8" s="204">
        <v>6037.2</v>
      </c>
      <c r="J8" s="204">
        <v>3775.2</v>
      </c>
      <c r="K8" s="204">
        <v>6081.4</v>
      </c>
      <c r="L8" s="204">
        <v>2601.9</v>
      </c>
      <c r="M8" s="204">
        <v>2151.5</v>
      </c>
      <c r="N8" s="204"/>
      <c r="O8" s="204"/>
      <c r="P8" s="204">
        <f t="shared" ref="P8:P28" si="0">O8</f>
        <v>0</v>
      </c>
      <c r="Q8" s="204">
        <f t="shared" ref="Q8:Q27" si="1">SUM(H8:P8)</f>
        <v>22966.700000000004</v>
      </c>
      <c r="R8" s="458" t="s">
        <v>356</v>
      </c>
    </row>
    <row r="9" spans="1:21" ht="35.1" customHeight="1" x14ac:dyDescent="0.25">
      <c r="A9" s="451"/>
      <c r="B9" s="456"/>
      <c r="C9" s="317"/>
      <c r="D9" s="207" t="s">
        <v>18</v>
      </c>
      <c r="E9" s="207" t="s">
        <v>350</v>
      </c>
      <c r="F9" s="207" t="s">
        <v>355</v>
      </c>
      <c r="G9" s="207" t="s">
        <v>269</v>
      </c>
      <c r="H9" s="204">
        <v>389.7</v>
      </c>
      <c r="I9" s="204">
        <v>590.1</v>
      </c>
      <c r="J9" s="204">
        <v>889.8</v>
      </c>
      <c r="K9" s="204">
        <f>407.7+80.2+100+235.4</f>
        <v>823.3</v>
      </c>
      <c r="L9" s="204">
        <v>1366.1</v>
      </c>
      <c r="M9" s="204">
        <v>687.2</v>
      </c>
      <c r="N9" s="204"/>
      <c r="O9" s="204"/>
      <c r="P9" s="204">
        <f t="shared" si="0"/>
        <v>0</v>
      </c>
      <c r="Q9" s="204">
        <f t="shared" si="1"/>
        <v>4746.2</v>
      </c>
      <c r="R9" s="459"/>
    </row>
    <row r="10" spans="1:21" ht="35.1" customHeight="1" x14ac:dyDescent="0.25">
      <c r="A10" s="451"/>
      <c r="B10" s="456"/>
      <c r="C10" s="317"/>
      <c r="D10" s="207" t="s">
        <v>18</v>
      </c>
      <c r="E10" s="207" t="s">
        <v>350</v>
      </c>
      <c r="F10" s="207" t="s">
        <v>355</v>
      </c>
      <c r="G10" s="207" t="s">
        <v>297</v>
      </c>
      <c r="H10" s="204"/>
      <c r="I10" s="204"/>
      <c r="J10" s="204"/>
      <c r="K10" s="204"/>
      <c r="L10" s="204">
        <v>612.20000000000005</v>
      </c>
      <c r="M10" s="204"/>
      <c r="N10" s="204"/>
      <c r="O10" s="204"/>
      <c r="P10" s="204">
        <f t="shared" si="0"/>
        <v>0</v>
      </c>
      <c r="Q10" s="204">
        <f t="shared" si="1"/>
        <v>612.20000000000005</v>
      </c>
      <c r="R10" s="459"/>
    </row>
    <row r="11" spans="1:21" ht="35.1" customHeight="1" x14ac:dyDescent="0.25">
      <c r="A11" s="451"/>
      <c r="B11" s="456"/>
      <c r="C11" s="317"/>
      <c r="D11" s="207" t="s">
        <v>18</v>
      </c>
      <c r="E11" s="207" t="s">
        <v>350</v>
      </c>
      <c r="F11" s="207" t="s">
        <v>357</v>
      </c>
      <c r="G11" s="207" t="s">
        <v>267</v>
      </c>
      <c r="H11" s="204">
        <v>0</v>
      </c>
      <c r="I11" s="204">
        <v>0</v>
      </c>
      <c r="J11" s="204">
        <v>531.20000000000005</v>
      </c>
      <c r="K11" s="204">
        <v>959.7</v>
      </c>
      <c r="L11" s="204">
        <v>486.3</v>
      </c>
      <c r="M11" s="204">
        <v>828.9</v>
      </c>
      <c r="N11" s="204">
        <v>654</v>
      </c>
      <c r="O11" s="204">
        <v>839</v>
      </c>
      <c r="P11" s="204">
        <v>1024</v>
      </c>
      <c r="Q11" s="204">
        <f t="shared" si="1"/>
        <v>5323.1</v>
      </c>
      <c r="R11" s="459"/>
    </row>
    <row r="12" spans="1:21" ht="35.1" customHeight="1" x14ac:dyDescent="0.25">
      <c r="A12" s="451"/>
      <c r="B12" s="456"/>
      <c r="C12" s="317"/>
      <c r="D12" s="207" t="s">
        <v>18</v>
      </c>
      <c r="E12" s="207" t="s">
        <v>350</v>
      </c>
      <c r="F12" s="207" t="s">
        <v>357</v>
      </c>
      <c r="G12" s="207" t="s">
        <v>269</v>
      </c>
      <c r="H12" s="204">
        <v>0</v>
      </c>
      <c r="I12" s="204">
        <v>0</v>
      </c>
      <c r="J12" s="204">
        <v>278.7</v>
      </c>
      <c r="K12" s="204">
        <v>0</v>
      </c>
      <c r="L12" s="204">
        <v>423</v>
      </c>
      <c r="M12" s="204">
        <v>94</v>
      </c>
      <c r="N12" s="204">
        <v>456</v>
      </c>
      <c r="O12" s="204">
        <v>456</v>
      </c>
      <c r="P12" s="204">
        <v>456</v>
      </c>
      <c r="Q12" s="204">
        <f t="shared" si="1"/>
        <v>2163.6999999999998</v>
      </c>
      <c r="R12" s="459"/>
    </row>
    <row r="13" spans="1:21" ht="35.1" customHeight="1" x14ac:dyDescent="0.25">
      <c r="A13" s="451"/>
      <c r="B13" s="456"/>
      <c r="C13" s="317"/>
      <c r="D13" s="207" t="s">
        <v>18</v>
      </c>
      <c r="E13" s="207" t="s">
        <v>350</v>
      </c>
      <c r="F13" s="207" t="s">
        <v>358</v>
      </c>
      <c r="G13" s="207" t="s">
        <v>267</v>
      </c>
      <c r="H13" s="204">
        <v>0</v>
      </c>
      <c r="I13" s="204">
        <v>0</v>
      </c>
      <c r="J13" s="204">
        <v>106.2</v>
      </c>
      <c r="K13" s="204">
        <v>48</v>
      </c>
      <c r="L13" s="204"/>
      <c r="M13" s="204"/>
      <c r="N13" s="204"/>
      <c r="O13" s="204"/>
      <c r="P13" s="204">
        <f t="shared" si="0"/>
        <v>0</v>
      </c>
      <c r="Q13" s="204">
        <f t="shared" si="1"/>
        <v>154.19999999999999</v>
      </c>
      <c r="R13" s="459"/>
    </row>
    <row r="14" spans="1:21" ht="35.1" customHeight="1" x14ac:dyDescent="0.25">
      <c r="A14" s="451"/>
      <c r="B14" s="456"/>
      <c r="C14" s="317"/>
      <c r="D14" s="207" t="s">
        <v>18</v>
      </c>
      <c r="E14" s="207" t="s">
        <v>350</v>
      </c>
      <c r="F14" s="207" t="s">
        <v>358</v>
      </c>
      <c r="G14" s="207" t="s">
        <v>269</v>
      </c>
      <c r="H14" s="204">
        <v>0</v>
      </c>
      <c r="I14" s="204">
        <v>0</v>
      </c>
      <c r="J14" s="204">
        <v>55.8</v>
      </c>
      <c r="K14" s="204">
        <v>0</v>
      </c>
      <c r="L14" s="204">
        <v>46</v>
      </c>
      <c r="M14" s="204">
        <v>47.3</v>
      </c>
      <c r="N14" s="204">
        <v>55.5</v>
      </c>
      <c r="O14" s="204">
        <v>83.9</v>
      </c>
      <c r="P14" s="204">
        <v>109.5</v>
      </c>
      <c r="Q14" s="204">
        <f t="shared" si="1"/>
        <v>398</v>
      </c>
      <c r="R14" s="459"/>
    </row>
    <row r="15" spans="1:21" ht="35.1" customHeight="1" x14ac:dyDescent="0.25">
      <c r="A15" s="22"/>
      <c r="B15" s="456"/>
      <c r="C15" s="317"/>
      <c r="D15" s="207" t="s">
        <v>18</v>
      </c>
      <c r="E15" s="207" t="s">
        <v>350</v>
      </c>
      <c r="F15" s="207" t="s">
        <v>359</v>
      </c>
      <c r="G15" s="207" t="s">
        <v>267</v>
      </c>
      <c r="H15" s="204"/>
      <c r="I15" s="204"/>
      <c r="J15" s="204"/>
      <c r="K15" s="204"/>
      <c r="L15" s="204"/>
      <c r="M15" s="204">
        <f>2957.5-160</f>
        <v>2797.5</v>
      </c>
      <c r="N15" s="204"/>
      <c r="O15" s="204"/>
      <c r="P15" s="204">
        <f t="shared" si="0"/>
        <v>0</v>
      </c>
      <c r="Q15" s="204">
        <f t="shared" si="1"/>
        <v>2797.5</v>
      </c>
      <c r="R15" s="459"/>
    </row>
    <row r="16" spans="1:21" ht="35.1" customHeight="1" x14ac:dyDescent="0.25">
      <c r="A16" s="22"/>
      <c r="B16" s="456"/>
      <c r="C16" s="317"/>
      <c r="D16" s="207" t="s">
        <v>18</v>
      </c>
      <c r="E16" s="207" t="s">
        <v>350</v>
      </c>
      <c r="F16" s="207" t="s">
        <v>359</v>
      </c>
      <c r="G16" s="207" t="s">
        <v>267</v>
      </c>
      <c r="H16" s="204"/>
      <c r="I16" s="204"/>
      <c r="J16" s="204"/>
      <c r="K16" s="204"/>
      <c r="L16" s="204"/>
      <c r="M16" s="204">
        <v>160</v>
      </c>
      <c r="N16" s="204"/>
      <c r="O16" s="204"/>
      <c r="P16" s="204">
        <f t="shared" si="0"/>
        <v>0</v>
      </c>
      <c r="Q16" s="204">
        <f t="shared" si="1"/>
        <v>160</v>
      </c>
      <c r="R16" s="459"/>
    </row>
    <row r="17" spans="1:18" ht="35.1" customHeight="1" x14ac:dyDescent="0.25">
      <c r="A17" s="22"/>
      <c r="B17" s="456"/>
      <c r="C17" s="317"/>
      <c r="D17" s="207" t="s">
        <v>18</v>
      </c>
      <c r="E17" s="207" t="s">
        <v>350</v>
      </c>
      <c r="F17" s="207" t="s">
        <v>360</v>
      </c>
      <c r="G17" s="207" t="s">
        <v>361</v>
      </c>
      <c r="H17" s="204"/>
      <c r="I17" s="204"/>
      <c r="J17" s="204"/>
      <c r="K17" s="204"/>
      <c r="L17" s="204">
        <v>4549.5</v>
      </c>
      <c r="M17" s="204">
        <v>3564.6</v>
      </c>
      <c r="N17" s="204"/>
      <c r="O17" s="204"/>
      <c r="P17" s="204">
        <f t="shared" si="0"/>
        <v>0</v>
      </c>
      <c r="Q17" s="204">
        <f t="shared" si="1"/>
        <v>8114.1</v>
      </c>
      <c r="R17" s="459"/>
    </row>
    <row r="18" spans="1:18" ht="35.1" customHeight="1" x14ac:dyDescent="0.25">
      <c r="A18" s="22"/>
      <c r="B18" s="456"/>
      <c r="C18" s="317"/>
      <c r="D18" s="207" t="s">
        <v>18</v>
      </c>
      <c r="E18" s="207" t="s">
        <v>350</v>
      </c>
      <c r="F18" s="207" t="s">
        <v>362</v>
      </c>
      <c r="G18" s="207" t="s">
        <v>361</v>
      </c>
      <c r="H18" s="204"/>
      <c r="I18" s="204"/>
      <c r="J18" s="204"/>
      <c r="K18" s="204"/>
      <c r="L18" s="204">
        <v>505.5</v>
      </c>
      <c r="M18" s="204">
        <v>39.799999999999997</v>
      </c>
      <c r="N18" s="204"/>
      <c r="O18" s="204"/>
      <c r="P18" s="204">
        <f t="shared" si="0"/>
        <v>0</v>
      </c>
      <c r="Q18" s="204">
        <f t="shared" si="1"/>
        <v>545.29999999999995</v>
      </c>
      <c r="R18" s="459"/>
    </row>
    <row r="19" spans="1:18" ht="35.1" customHeight="1" x14ac:dyDescent="0.25">
      <c r="A19" s="22"/>
      <c r="B19" s="457"/>
      <c r="C19" s="335"/>
      <c r="D19" s="207"/>
      <c r="E19" s="207" t="s">
        <v>350</v>
      </c>
      <c r="F19" s="207" t="s">
        <v>363</v>
      </c>
      <c r="G19" s="208">
        <v>240</v>
      </c>
      <c r="H19" s="204"/>
      <c r="I19" s="204"/>
      <c r="J19" s="204"/>
      <c r="K19" s="204"/>
      <c r="L19" s="204"/>
      <c r="M19" s="204">
        <v>7000</v>
      </c>
      <c r="N19" s="204"/>
      <c r="O19" s="204"/>
      <c r="P19" s="204">
        <f t="shared" si="0"/>
        <v>0</v>
      </c>
      <c r="Q19" s="204">
        <f t="shared" si="1"/>
        <v>7000</v>
      </c>
      <c r="R19" s="460"/>
    </row>
    <row r="20" spans="1:18" ht="35.1" customHeight="1" x14ac:dyDescent="0.25">
      <c r="A20" s="451" t="s">
        <v>130</v>
      </c>
      <c r="B20" s="450" t="s">
        <v>364</v>
      </c>
      <c r="C20" s="321" t="s">
        <v>17</v>
      </c>
      <c r="D20" s="207" t="s">
        <v>18</v>
      </c>
      <c r="E20" s="207" t="s">
        <v>365</v>
      </c>
      <c r="F20" s="207" t="s">
        <v>366</v>
      </c>
      <c r="G20" s="207" t="s">
        <v>267</v>
      </c>
      <c r="H20" s="204">
        <v>5267.9</v>
      </c>
      <c r="I20" s="204">
        <v>4744.6000000000004</v>
      </c>
      <c r="J20" s="204">
        <v>5833</v>
      </c>
      <c r="K20" s="204">
        <v>6378.5</v>
      </c>
      <c r="L20" s="204">
        <v>8215.2000000000007</v>
      </c>
      <c r="M20" s="204">
        <v>7991.1</v>
      </c>
      <c r="N20" s="204">
        <v>9337.5</v>
      </c>
      <c r="O20" s="204">
        <v>9337.5</v>
      </c>
      <c r="P20" s="204">
        <v>9337.5</v>
      </c>
      <c r="Q20" s="204">
        <f t="shared" si="1"/>
        <v>66442.8</v>
      </c>
      <c r="R20" s="328" t="s">
        <v>367</v>
      </c>
    </row>
    <row r="21" spans="1:18" ht="35.1" customHeight="1" x14ac:dyDescent="0.25">
      <c r="A21" s="451"/>
      <c r="B21" s="450"/>
      <c r="C21" s="321"/>
      <c r="D21" s="207" t="s">
        <v>18</v>
      </c>
      <c r="E21" s="207" t="s">
        <v>365</v>
      </c>
      <c r="F21" s="207" t="s">
        <v>366</v>
      </c>
      <c r="G21" s="207" t="s">
        <v>269</v>
      </c>
      <c r="H21" s="204">
        <v>1080.8</v>
      </c>
      <c r="I21" s="204">
        <v>1020.8</v>
      </c>
      <c r="J21" s="204">
        <v>1237.7</v>
      </c>
      <c r="K21" s="204">
        <v>1529.5</v>
      </c>
      <c r="L21" s="204">
        <v>1757.5</v>
      </c>
      <c r="M21" s="204">
        <v>1484.6</v>
      </c>
      <c r="N21" s="204">
        <v>1524.6</v>
      </c>
      <c r="O21" s="204">
        <v>1524.6</v>
      </c>
      <c r="P21" s="204">
        <v>1524.6</v>
      </c>
      <c r="Q21" s="204">
        <f t="shared" si="1"/>
        <v>12684.7</v>
      </c>
      <c r="R21" s="328"/>
    </row>
    <row r="22" spans="1:18" ht="35.1" customHeight="1" x14ac:dyDescent="0.25">
      <c r="A22" s="451"/>
      <c r="B22" s="450"/>
      <c r="C22" s="321"/>
      <c r="D22" s="207" t="s">
        <v>18</v>
      </c>
      <c r="E22" s="207" t="s">
        <v>365</v>
      </c>
      <c r="F22" s="207" t="s">
        <v>368</v>
      </c>
      <c r="G22" s="207" t="s">
        <v>267</v>
      </c>
      <c r="H22" s="204">
        <v>0</v>
      </c>
      <c r="I22" s="204">
        <v>0</v>
      </c>
      <c r="J22" s="204">
        <v>187.8</v>
      </c>
      <c r="K22" s="204">
        <v>0</v>
      </c>
      <c r="L22" s="204">
        <v>0</v>
      </c>
      <c r="M22" s="204">
        <v>0</v>
      </c>
      <c r="N22" s="204">
        <v>0</v>
      </c>
      <c r="O22" s="204">
        <v>0</v>
      </c>
      <c r="P22" s="204">
        <f t="shared" si="0"/>
        <v>0</v>
      </c>
      <c r="Q22" s="204">
        <f t="shared" si="1"/>
        <v>187.8</v>
      </c>
      <c r="R22" s="328"/>
    </row>
    <row r="23" spans="1:18" ht="35.1" customHeight="1" x14ac:dyDescent="0.25">
      <c r="A23" s="451"/>
      <c r="B23" s="450"/>
      <c r="C23" s="321"/>
      <c r="D23" s="207" t="s">
        <v>18</v>
      </c>
      <c r="E23" s="207" t="s">
        <v>365</v>
      </c>
      <c r="F23" s="207" t="s">
        <v>368</v>
      </c>
      <c r="G23" s="207" t="s">
        <v>269</v>
      </c>
      <c r="H23" s="204">
        <v>0</v>
      </c>
      <c r="I23" s="204">
        <v>0</v>
      </c>
      <c r="J23" s="204">
        <v>101.5</v>
      </c>
      <c r="K23" s="204">
        <v>0</v>
      </c>
      <c r="L23" s="204">
        <v>0</v>
      </c>
      <c r="M23" s="204">
        <v>0</v>
      </c>
      <c r="N23" s="204">
        <v>0</v>
      </c>
      <c r="O23" s="204">
        <v>0</v>
      </c>
      <c r="P23" s="204">
        <f t="shared" si="0"/>
        <v>0</v>
      </c>
      <c r="Q23" s="204">
        <f t="shared" si="1"/>
        <v>101.5</v>
      </c>
      <c r="R23" s="328"/>
    </row>
    <row r="24" spans="1:18" s="57" customFormat="1" ht="62.25" customHeight="1" x14ac:dyDescent="0.25">
      <c r="A24" s="209" t="s">
        <v>133</v>
      </c>
      <c r="B24" s="210" t="s">
        <v>369</v>
      </c>
      <c r="C24" s="20" t="s">
        <v>17</v>
      </c>
      <c r="D24" s="207" t="s">
        <v>18</v>
      </c>
      <c r="E24" s="207" t="s">
        <v>350</v>
      </c>
      <c r="F24" s="207" t="s">
        <v>370</v>
      </c>
      <c r="G24" s="207" t="s">
        <v>267</v>
      </c>
      <c r="H24" s="204"/>
      <c r="I24" s="204">
        <v>694</v>
      </c>
      <c r="J24" s="204"/>
      <c r="K24" s="204"/>
      <c r="L24" s="204"/>
      <c r="M24" s="204"/>
      <c r="N24" s="204"/>
      <c r="O24" s="204"/>
      <c r="P24" s="204">
        <f t="shared" si="0"/>
        <v>0</v>
      </c>
      <c r="Q24" s="204">
        <f t="shared" si="1"/>
        <v>694</v>
      </c>
      <c r="R24" s="454"/>
    </row>
    <row r="25" spans="1:18" s="57" customFormat="1" ht="63.75" customHeight="1" x14ac:dyDescent="0.25">
      <c r="A25" s="209" t="s">
        <v>135</v>
      </c>
      <c r="B25" s="210" t="s">
        <v>371</v>
      </c>
      <c r="C25" s="20" t="s">
        <v>17</v>
      </c>
      <c r="D25" s="207" t="s">
        <v>18</v>
      </c>
      <c r="E25" s="207" t="s">
        <v>350</v>
      </c>
      <c r="F25" s="207" t="s">
        <v>372</v>
      </c>
      <c r="G25" s="207" t="s">
        <v>267</v>
      </c>
      <c r="H25" s="204">
        <v>0</v>
      </c>
      <c r="I25" s="204">
        <v>7.3</v>
      </c>
      <c r="J25" s="204"/>
      <c r="K25" s="204"/>
      <c r="L25" s="204"/>
      <c r="M25" s="204"/>
      <c r="N25" s="204"/>
      <c r="O25" s="204"/>
      <c r="P25" s="204">
        <f t="shared" si="0"/>
        <v>0</v>
      </c>
      <c r="Q25" s="204">
        <f t="shared" si="1"/>
        <v>7.3</v>
      </c>
      <c r="R25" s="454"/>
    </row>
    <row r="26" spans="1:18" ht="46.5" customHeight="1" x14ac:dyDescent="0.25">
      <c r="A26" s="209" t="s">
        <v>373</v>
      </c>
      <c r="B26" s="210" t="s">
        <v>374</v>
      </c>
      <c r="C26" s="20" t="s">
        <v>17</v>
      </c>
      <c r="D26" s="207" t="s">
        <v>18</v>
      </c>
      <c r="E26" s="207" t="s">
        <v>350</v>
      </c>
      <c r="F26" s="207" t="s">
        <v>375</v>
      </c>
      <c r="G26" s="207" t="s">
        <v>376</v>
      </c>
      <c r="H26" s="204"/>
      <c r="I26" s="204"/>
      <c r="J26" s="204">
        <v>6.8</v>
      </c>
      <c r="K26" s="204">
        <f>6.8+86.4</f>
        <v>93.2</v>
      </c>
      <c r="L26" s="204">
        <f>46.4+46.8</f>
        <v>93.199999999999989</v>
      </c>
      <c r="M26" s="204">
        <v>7.9</v>
      </c>
      <c r="N26" s="204"/>
      <c r="O26" s="204"/>
      <c r="P26" s="204">
        <f t="shared" si="0"/>
        <v>0</v>
      </c>
      <c r="Q26" s="204">
        <f t="shared" si="1"/>
        <v>201.1</v>
      </c>
      <c r="R26" s="328" t="s">
        <v>377</v>
      </c>
    </row>
    <row r="27" spans="1:18" ht="35.1" customHeight="1" x14ac:dyDescent="0.25">
      <c r="A27" s="451" t="s">
        <v>378</v>
      </c>
      <c r="B27" s="450" t="s">
        <v>379</v>
      </c>
      <c r="C27" s="328" t="s">
        <v>17</v>
      </c>
      <c r="D27" s="207" t="s">
        <v>18</v>
      </c>
      <c r="E27" s="207" t="s">
        <v>350</v>
      </c>
      <c r="F27" s="207" t="s">
        <v>375</v>
      </c>
      <c r="G27" s="207" t="s">
        <v>376</v>
      </c>
      <c r="H27" s="204"/>
      <c r="I27" s="204"/>
      <c r="J27" s="204">
        <v>16.7</v>
      </c>
      <c r="K27" s="204">
        <f>10.1+2</f>
        <v>12.1</v>
      </c>
      <c r="L27" s="204">
        <v>10.5</v>
      </c>
      <c r="M27" s="204">
        <v>1.9</v>
      </c>
      <c r="N27" s="204"/>
      <c r="O27" s="204"/>
      <c r="P27" s="204">
        <f t="shared" si="0"/>
        <v>0</v>
      </c>
      <c r="Q27" s="204">
        <f t="shared" si="1"/>
        <v>41.199999999999996</v>
      </c>
      <c r="R27" s="328"/>
    </row>
    <row r="28" spans="1:18" ht="35.1" customHeight="1" x14ac:dyDescent="0.25">
      <c r="A28" s="451"/>
      <c r="B28" s="450"/>
      <c r="C28" s="328"/>
      <c r="D28" s="207" t="s">
        <v>18</v>
      </c>
      <c r="E28" s="207" t="s">
        <v>350</v>
      </c>
      <c r="F28" s="207" t="s">
        <v>380</v>
      </c>
      <c r="G28" s="207" t="s">
        <v>269</v>
      </c>
      <c r="H28" s="204"/>
      <c r="I28" s="204"/>
      <c r="J28" s="204">
        <v>7.2</v>
      </c>
      <c r="K28" s="204"/>
      <c r="L28" s="204"/>
      <c r="M28" s="204"/>
      <c r="N28" s="204"/>
      <c r="O28" s="204"/>
      <c r="P28" s="204">
        <f t="shared" si="0"/>
        <v>0</v>
      </c>
      <c r="Q28" s="204">
        <f t="shared" ref="Q28:Q39" si="2">SUM(H28:P28)</f>
        <v>7.2</v>
      </c>
      <c r="R28" s="328"/>
    </row>
    <row r="29" spans="1:18" ht="35.1" customHeight="1" x14ac:dyDescent="0.25">
      <c r="A29" s="451" t="s">
        <v>381</v>
      </c>
      <c r="B29" s="316" t="s">
        <v>382</v>
      </c>
      <c r="C29" s="328" t="s">
        <v>17</v>
      </c>
      <c r="D29" s="207" t="s">
        <v>18</v>
      </c>
      <c r="E29" s="207" t="s">
        <v>350</v>
      </c>
      <c r="F29" s="207" t="s">
        <v>383</v>
      </c>
      <c r="G29" s="207" t="s">
        <v>267</v>
      </c>
      <c r="H29" s="204"/>
      <c r="I29" s="204"/>
      <c r="J29" s="204"/>
      <c r="K29" s="204"/>
      <c r="L29" s="204"/>
      <c r="M29" s="204"/>
      <c r="N29" s="204">
        <v>0</v>
      </c>
      <c r="O29" s="204">
        <v>1930.9</v>
      </c>
      <c r="P29" s="204">
        <v>1896.5</v>
      </c>
      <c r="Q29" s="204">
        <f t="shared" si="2"/>
        <v>3827.4</v>
      </c>
      <c r="R29" s="316"/>
    </row>
    <row r="30" spans="1:18" ht="35.1" customHeight="1" x14ac:dyDescent="0.25">
      <c r="A30" s="451"/>
      <c r="B30" s="335"/>
      <c r="C30" s="328"/>
      <c r="D30" s="207" t="s">
        <v>18</v>
      </c>
      <c r="E30" s="207" t="s">
        <v>350</v>
      </c>
      <c r="F30" s="207" t="s">
        <v>383</v>
      </c>
      <c r="G30" s="207" t="s">
        <v>269</v>
      </c>
      <c r="H30" s="204"/>
      <c r="I30" s="204"/>
      <c r="J30" s="204"/>
      <c r="K30" s="204"/>
      <c r="L30" s="204"/>
      <c r="M30" s="204"/>
      <c r="N30" s="204"/>
      <c r="O30" s="204">
        <v>1930.7</v>
      </c>
      <c r="P30" s="204">
        <v>0</v>
      </c>
      <c r="Q30" s="204">
        <f t="shared" si="2"/>
        <v>1930.7</v>
      </c>
      <c r="R30" s="335"/>
    </row>
    <row r="31" spans="1:18" ht="35.1" customHeight="1" x14ac:dyDescent="0.25">
      <c r="A31" s="451" t="s">
        <v>384</v>
      </c>
      <c r="B31" s="316" t="s">
        <v>385</v>
      </c>
      <c r="C31" s="328" t="s">
        <v>17</v>
      </c>
      <c r="D31" s="207" t="s">
        <v>18</v>
      </c>
      <c r="E31" s="207" t="s">
        <v>350</v>
      </c>
      <c r="F31" s="207" t="s">
        <v>383</v>
      </c>
      <c r="G31" s="207" t="s">
        <v>267</v>
      </c>
      <c r="H31" s="204"/>
      <c r="I31" s="204"/>
      <c r="J31" s="204"/>
      <c r="K31" s="204"/>
      <c r="L31" s="204"/>
      <c r="M31" s="204"/>
      <c r="N31" s="204"/>
      <c r="O31" s="204">
        <v>39.5</v>
      </c>
      <c r="P31" s="204">
        <v>38.799999999999997</v>
      </c>
      <c r="Q31" s="204">
        <f t="shared" si="2"/>
        <v>78.3</v>
      </c>
    </row>
    <row r="32" spans="1:18" ht="35.1" customHeight="1" x14ac:dyDescent="0.25">
      <c r="A32" s="451"/>
      <c r="B32" s="335"/>
      <c r="C32" s="328"/>
      <c r="D32" s="207" t="s">
        <v>18</v>
      </c>
      <c r="E32" s="207" t="s">
        <v>350</v>
      </c>
      <c r="F32" s="207" t="s">
        <v>383</v>
      </c>
      <c r="G32" s="207" t="s">
        <v>269</v>
      </c>
      <c r="H32" s="204"/>
      <c r="I32" s="204"/>
      <c r="J32" s="204"/>
      <c r="K32" s="204"/>
      <c r="L32" s="204"/>
      <c r="M32" s="204"/>
      <c r="N32" s="204"/>
      <c r="O32" s="204">
        <v>39.5</v>
      </c>
      <c r="P32" s="204">
        <v>0</v>
      </c>
      <c r="Q32" s="204">
        <f t="shared" si="2"/>
        <v>39.5</v>
      </c>
    </row>
    <row r="33" spans="1:18" ht="35.1" customHeight="1" x14ac:dyDescent="0.25">
      <c r="A33" s="451" t="s">
        <v>386</v>
      </c>
      <c r="B33" s="318" t="s">
        <v>387</v>
      </c>
      <c r="C33" s="328" t="s">
        <v>17</v>
      </c>
      <c r="D33" s="207" t="s">
        <v>18</v>
      </c>
      <c r="E33" s="207" t="s">
        <v>350</v>
      </c>
      <c r="F33" s="207" t="s">
        <v>388</v>
      </c>
      <c r="G33" s="207" t="s">
        <v>267</v>
      </c>
      <c r="H33" s="204"/>
      <c r="I33" s="204"/>
      <c r="J33" s="204"/>
      <c r="K33" s="204"/>
      <c r="L33" s="204"/>
      <c r="M33" s="204"/>
      <c r="N33" s="211">
        <v>1800</v>
      </c>
      <c r="O33" s="204">
        <v>977.1</v>
      </c>
      <c r="P33" s="204">
        <v>0</v>
      </c>
      <c r="Q33" s="204">
        <f t="shared" si="2"/>
        <v>2777.1</v>
      </c>
      <c r="R33" s="316"/>
    </row>
    <row r="34" spans="1:18" ht="35.1" customHeight="1" x14ac:dyDescent="0.25">
      <c r="A34" s="451"/>
      <c r="B34" s="320"/>
      <c r="C34" s="328"/>
      <c r="D34" s="207" t="s">
        <v>18</v>
      </c>
      <c r="E34" s="207" t="s">
        <v>350</v>
      </c>
      <c r="F34" s="207" t="s">
        <v>388</v>
      </c>
      <c r="G34" s="207" t="s">
        <v>269</v>
      </c>
      <c r="H34" s="204"/>
      <c r="I34" s="204"/>
      <c r="J34" s="204"/>
      <c r="K34" s="204"/>
      <c r="L34" s="204"/>
      <c r="M34" s="204"/>
      <c r="N34" s="204">
        <v>0</v>
      </c>
      <c r="O34" s="204">
        <v>0</v>
      </c>
      <c r="P34" s="204">
        <v>1017.9</v>
      </c>
      <c r="Q34" s="204">
        <f t="shared" si="2"/>
        <v>1017.9</v>
      </c>
      <c r="R34" s="335"/>
    </row>
    <row r="35" spans="1:18" ht="35.1" customHeight="1" x14ac:dyDescent="0.25">
      <c r="A35" s="451" t="s">
        <v>389</v>
      </c>
      <c r="B35" s="318" t="s">
        <v>390</v>
      </c>
      <c r="C35" s="328" t="s">
        <v>17</v>
      </c>
      <c r="D35" s="207" t="s">
        <v>18</v>
      </c>
      <c r="E35" s="207" t="s">
        <v>350</v>
      </c>
      <c r="F35" s="207" t="s">
        <v>391</v>
      </c>
      <c r="G35" s="207" t="s">
        <v>267</v>
      </c>
      <c r="H35" s="204"/>
      <c r="I35" s="204"/>
      <c r="J35" s="204"/>
      <c r="K35" s="204"/>
      <c r="L35" s="204"/>
      <c r="M35" s="204"/>
      <c r="N35" s="211">
        <v>90</v>
      </c>
      <c r="O35" s="204">
        <v>20</v>
      </c>
      <c r="P35" s="204">
        <v>0</v>
      </c>
      <c r="Q35" s="204">
        <f t="shared" si="2"/>
        <v>110</v>
      </c>
    </row>
    <row r="36" spans="1:18" ht="35.1" customHeight="1" x14ac:dyDescent="0.25">
      <c r="A36" s="451"/>
      <c r="B36" s="320"/>
      <c r="C36" s="328"/>
      <c r="D36" s="207" t="s">
        <v>18</v>
      </c>
      <c r="E36" s="207" t="s">
        <v>350</v>
      </c>
      <c r="F36" s="207" t="s">
        <v>388</v>
      </c>
      <c r="G36" s="207" t="s">
        <v>269</v>
      </c>
      <c r="H36" s="204"/>
      <c r="I36" s="204"/>
      <c r="J36" s="204"/>
      <c r="K36" s="204"/>
      <c r="L36" s="204"/>
      <c r="M36" s="204"/>
      <c r="N36" s="204">
        <v>0</v>
      </c>
      <c r="O36" s="204">
        <v>0</v>
      </c>
      <c r="P36" s="204">
        <v>20.8</v>
      </c>
      <c r="Q36" s="204">
        <f t="shared" si="2"/>
        <v>20.8</v>
      </c>
    </row>
    <row r="37" spans="1:18" ht="73.900000000000006" customHeight="1" x14ac:dyDescent="0.25">
      <c r="A37" s="451" t="s">
        <v>392</v>
      </c>
      <c r="B37" s="212" t="s">
        <v>387</v>
      </c>
      <c r="C37" s="328" t="s">
        <v>17</v>
      </c>
      <c r="D37" s="207" t="s">
        <v>18</v>
      </c>
      <c r="E37" s="207" t="s">
        <v>350</v>
      </c>
      <c r="F37" s="207" t="s">
        <v>393</v>
      </c>
      <c r="G37" s="207" t="s">
        <v>267</v>
      </c>
      <c r="H37" s="204"/>
      <c r="I37" s="204"/>
      <c r="J37" s="204"/>
      <c r="K37" s="204"/>
      <c r="L37" s="204"/>
      <c r="M37" s="204"/>
      <c r="N37" s="204">
        <f>2866.8-57.4</f>
        <v>2809.4</v>
      </c>
      <c r="O37" s="204">
        <v>0</v>
      </c>
      <c r="P37" s="204">
        <v>0</v>
      </c>
      <c r="Q37" s="204">
        <f t="shared" si="2"/>
        <v>2809.4</v>
      </c>
    </row>
    <row r="38" spans="1:18" ht="78.599999999999994" customHeight="1" x14ac:dyDescent="0.25">
      <c r="A38" s="451"/>
      <c r="B38" s="171" t="s">
        <v>390</v>
      </c>
      <c r="C38" s="328"/>
      <c r="D38" s="207" t="s">
        <v>18</v>
      </c>
      <c r="E38" s="207" t="s">
        <v>350</v>
      </c>
      <c r="F38" s="207" t="s">
        <v>393</v>
      </c>
      <c r="G38" s="207" t="s">
        <v>267</v>
      </c>
      <c r="H38" s="204"/>
      <c r="I38" s="204"/>
      <c r="J38" s="204"/>
      <c r="K38" s="204"/>
      <c r="L38" s="204"/>
      <c r="M38" s="204"/>
      <c r="N38" s="204">
        <v>57.4</v>
      </c>
      <c r="O38" s="204">
        <v>0</v>
      </c>
      <c r="P38" s="204">
        <v>0</v>
      </c>
      <c r="Q38" s="204">
        <f t="shared" si="2"/>
        <v>57.4</v>
      </c>
    </row>
    <row r="39" spans="1:18" ht="78.599999999999994" customHeight="1" x14ac:dyDescent="0.25">
      <c r="A39" s="213" t="s">
        <v>394</v>
      </c>
      <c r="B39" s="214" t="s">
        <v>395</v>
      </c>
      <c r="C39" s="171" t="s">
        <v>17</v>
      </c>
      <c r="D39" s="207" t="s">
        <v>18</v>
      </c>
      <c r="E39" s="207" t="s">
        <v>350</v>
      </c>
      <c r="F39" s="207" t="s">
        <v>396</v>
      </c>
      <c r="G39" s="207" t="s">
        <v>267</v>
      </c>
      <c r="H39" s="204"/>
      <c r="I39" s="204"/>
      <c r="J39" s="204"/>
      <c r="K39" s="204"/>
      <c r="L39" s="204"/>
      <c r="M39" s="204"/>
      <c r="N39" s="204">
        <v>400</v>
      </c>
      <c r="O39" s="204">
        <v>0</v>
      </c>
      <c r="P39" s="204">
        <v>0</v>
      </c>
      <c r="Q39" s="204">
        <f t="shared" si="2"/>
        <v>400</v>
      </c>
    </row>
    <row r="40" spans="1:18" ht="78.599999999999994" customHeight="1" x14ac:dyDescent="0.25">
      <c r="A40" s="213" t="s">
        <v>397</v>
      </c>
      <c r="B40" s="214" t="s">
        <v>398</v>
      </c>
      <c r="C40" s="171" t="s">
        <v>17</v>
      </c>
      <c r="D40" s="207" t="s">
        <v>18</v>
      </c>
      <c r="E40" s="207" t="s">
        <v>350</v>
      </c>
      <c r="F40" s="207" t="s">
        <v>360</v>
      </c>
      <c r="G40" s="207" t="s">
        <v>267</v>
      </c>
      <c r="H40" s="204"/>
      <c r="I40" s="204"/>
      <c r="J40" s="204"/>
      <c r="K40" s="204"/>
      <c r="L40" s="204"/>
      <c r="M40" s="204"/>
      <c r="N40" s="204">
        <v>1214.5</v>
      </c>
      <c r="O40" s="204">
        <v>0</v>
      </c>
      <c r="P40" s="204">
        <v>0</v>
      </c>
      <c r="Q40" s="204">
        <v>0</v>
      </c>
    </row>
    <row r="41" spans="1:18" ht="102.6" customHeight="1" x14ac:dyDescent="0.25">
      <c r="A41" s="213" t="s">
        <v>399</v>
      </c>
      <c r="B41" s="214" t="s">
        <v>400</v>
      </c>
      <c r="C41" s="171" t="s">
        <v>17</v>
      </c>
      <c r="D41" s="207" t="s">
        <v>18</v>
      </c>
      <c r="E41" s="207" t="s">
        <v>350</v>
      </c>
      <c r="F41" s="207" t="s">
        <v>362</v>
      </c>
      <c r="G41" s="207" t="s">
        <v>267</v>
      </c>
      <c r="H41" s="204"/>
      <c r="I41" s="204"/>
      <c r="J41" s="204"/>
      <c r="K41" s="204"/>
      <c r="L41" s="204"/>
      <c r="M41" s="204"/>
      <c r="N41" s="204">
        <v>134.9</v>
      </c>
      <c r="O41" s="204">
        <v>0</v>
      </c>
      <c r="P41" s="204">
        <v>0</v>
      </c>
      <c r="Q41" s="204">
        <v>0</v>
      </c>
    </row>
    <row r="42" spans="1:18" ht="35.1" customHeight="1" x14ac:dyDescent="0.25">
      <c r="A42" s="452" t="s">
        <v>319</v>
      </c>
      <c r="B42" s="452"/>
      <c r="C42" s="171"/>
      <c r="D42" s="215"/>
      <c r="E42" s="215"/>
      <c r="F42" s="215"/>
      <c r="G42" s="215"/>
      <c r="H42" s="48">
        <f t="shared" ref="H42:M42" si="3">SUM(H7:H28)</f>
        <v>10161.199999999999</v>
      </c>
      <c r="I42" s="48">
        <f t="shared" si="3"/>
        <v>13094</v>
      </c>
      <c r="J42" s="48">
        <f t="shared" si="3"/>
        <v>13027.6</v>
      </c>
      <c r="K42" s="48">
        <f t="shared" si="3"/>
        <v>17311.7</v>
      </c>
      <c r="L42" s="48">
        <f t="shared" si="3"/>
        <v>20666.900000000001</v>
      </c>
      <c r="M42" s="48">
        <f t="shared" si="3"/>
        <v>26856.300000000003</v>
      </c>
      <c r="N42" s="48">
        <f>SUM(N7:N41)</f>
        <v>18533.800000000003</v>
      </c>
      <c r="O42" s="48">
        <f>SUM(O7:O41)</f>
        <v>17178.7</v>
      </c>
      <c r="P42" s="48">
        <f>SUM(P7:P41)</f>
        <v>15425.599999999999</v>
      </c>
      <c r="Q42" s="48">
        <f>SUM(Q7:Q40)</f>
        <v>150906.4</v>
      </c>
      <c r="R42" s="216"/>
    </row>
    <row r="43" spans="1:18" ht="33" customHeight="1" x14ac:dyDescent="0.25">
      <c r="A43" s="423" t="s">
        <v>329</v>
      </c>
      <c r="B43" s="423"/>
      <c r="C43" s="423"/>
      <c r="D43" s="423"/>
      <c r="E43" s="423"/>
      <c r="F43" s="423"/>
      <c r="G43" s="423"/>
      <c r="H43" s="423"/>
      <c r="I43" s="423"/>
      <c r="J43" s="423"/>
      <c r="K43" s="423"/>
      <c r="L43" s="423"/>
      <c r="M43" s="423"/>
      <c r="N43" s="423"/>
      <c r="O43" s="423"/>
      <c r="P43" s="423"/>
      <c r="Q43" s="423"/>
      <c r="R43" s="423"/>
    </row>
    <row r="44" spans="1:18" ht="35.1" customHeight="1" x14ac:dyDescent="0.25">
      <c r="A44" s="453" t="s">
        <v>138</v>
      </c>
      <c r="B44" s="450" t="s">
        <v>401</v>
      </c>
      <c r="C44" s="328"/>
      <c r="D44" s="20" t="s">
        <v>18</v>
      </c>
      <c r="E44" s="208" t="s">
        <v>350</v>
      </c>
      <c r="F44" s="207" t="s">
        <v>355</v>
      </c>
      <c r="G44" s="208">
        <v>110</v>
      </c>
      <c r="H44" s="204">
        <v>13238</v>
      </c>
      <c r="I44" s="204">
        <v>13739.9</v>
      </c>
      <c r="J44" s="204">
        <v>12713.2</v>
      </c>
      <c r="K44" s="204">
        <v>12251.6</v>
      </c>
      <c r="L44" s="204">
        <v>11621.6</v>
      </c>
      <c r="M44" s="204">
        <v>6639.3</v>
      </c>
      <c r="N44" s="204">
        <v>0</v>
      </c>
      <c r="O44" s="204">
        <v>0</v>
      </c>
      <c r="P44" s="204">
        <v>0</v>
      </c>
      <c r="Q44" s="204">
        <f>SUM(H44:P44)</f>
        <v>70203.600000000006</v>
      </c>
      <c r="R44" s="328" t="s">
        <v>402</v>
      </c>
    </row>
    <row r="45" spans="1:18" ht="35.1" customHeight="1" x14ac:dyDescent="0.25">
      <c r="A45" s="453"/>
      <c r="B45" s="450"/>
      <c r="C45" s="328"/>
      <c r="D45" s="20" t="s">
        <v>18</v>
      </c>
      <c r="E45" s="208" t="s">
        <v>350</v>
      </c>
      <c r="F45" s="207" t="s">
        <v>355</v>
      </c>
      <c r="G45" s="208">
        <v>240</v>
      </c>
      <c r="H45" s="204">
        <f>6496+150</f>
        <v>6646</v>
      </c>
      <c r="I45" s="204">
        <f>7475.8+89.9</f>
        <v>7565.7</v>
      </c>
      <c r="J45" s="204">
        <v>8087.8</v>
      </c>
      <c r="K45" s="204">
        <v>7359.7</v>
      </c>
      <c r="L45" s="204">
        <f>7456-L10</f>
        <v>6843.8</v>
      </c>
      <c r="M45" s="204">
        <v>3610.3</v>
      </c>
      <c r="N45" s="204">
        <v>0</v>
      </c>
      <c r="O45" s="204">
        <v>0</v>
      </c>
      <c r="P45" s="204">
        <v>0</v>
      </c>
      <c r="Q45" s="204">
        <f t="shared" ref="Q45:Q89" si="4">SUM(H45:P45)</f>
        <v>40113.300000000003</v>
      </c>
      <c r="R45" s="328"/>
    </row>
    <row r="46" spans="1:18" ht="35.1" customHeight="1" x14ac:dyDescent="0.25">
      <c r="A46" s="453"/>
      <c r="B46" s="450"/>
      <c r="C46" s="328"/>
      <c r="D46" s="20" t="s">
        <v>18</v>
      </c>
      <c r="E46" s="208" t="s">
        <v>350</v>
      </c>
      <c r="F46" s="207" t="s">
        <v>355</v>
      </c>
      <c r="G46" s="208">
        <v>611</v>
      </c>
      <c r="H46" s="204">
        <v>36650.199999999997</v>
      </c>
      <c r="I46" s="204">
        <v>39146.800000000003</v>
      </c>
      <c r="J46" s="204">
        <v>21385.4</v>
      </c>
      <c r="K46" s="204">
        <v>20376.5</v>
      </c>
      <c r="L46" s="204">
        <v>21744.3</v>
      </c>
      <c r="M46" s="204">
        <v>21733.1</v>
      </c>
      <c r="N46" s="204">
        <v>19591.7</v>
      </c>
      <c r="O46" s="204">
        <v>19622.900000000001</v>
      </c>
      <c r="P46" s="204">
        <v>19622.900000000001</v>
      </c>
      <c r="Q46" s="204">
        <f t="shared" si="4"/>
        <v>219873.8</v>
      </c>
      <c r="R46" s="328"/>
    </row>
    <row r="47" spans="1:18" ht="35.1" customHeight="1" x14ac:dyDescent="0.25">
      <c r="A47" s="453"/>
      <c r="B47" s="450"/>
      <c r="C47" s="328"/>
      <c r="D47" s="20">
        <v>975</v>
      </c>
      <c r="E47" s="207" t="s">
        <v>350</v>
      </c>
      <c r="F47" s="207" t="s">
        <v>355</v>
      </c>
      <c r="G47" s="208">
        <v>612</v>
      </c>
      <c r="H47" s="204">
        <v>68.5</v>
      </c>
      <c r="I47" s="204"/>
      <c r="J47" s="204">
        <v>0</v>
      </c>
      <c r="K47" s="204"/>
      <c r="L47" s="204"/>
      <c r="M47" s="204"/>
      <c r="N47" s="204"/>
      <c r="O47" s="204"/>
      <c r="P47" s="204">
        <f t="shared" ref="P47:P89" si="5">O47</f>
        <v>0</v>
      </c>
      <c r="Q47" s="204">
        <f t="shared" si="4"/>
        <v>68.5</v>
      </c>
      <c r="R47" s="328"/>
    </row>
    <row r="48" spans="1:18" ht="35.1" customHeight="1" x14ac:dyDescent="0.25">
      <c r="A48" s="453"/>
      <c r="B48" s="450"/>
      <c r="C48" s="328"/>
      <c r="D48" s="20" t="s">
        <v>18</v>
      </c>
      <c r="E48" s="208" t="s">
        <v>350</v>
      </c>
      <c r="F48" s="207" t="s">
        <v>355</v>
      </c>
      <c r="G48" s="208">
        <v>621</v>
      </c>
      <c r="H48" s="204">
        <v>16861.8</v>
      </c>
      <c r="I48" s="204">
        <v>17529.8</v>
      </c>
      <c r="J48" s="204">
        <v>8899.2000000000007</v>
      </c>
      <c r="K48" s="204">
        <v>8641.4</v>
      </c>
      <c r="L48" s="204">
        <v>9217.1</v>
      </c>
      <c r="M48" s="204">
        <v>9882.6</v>
      </c>
      <c r="N48" s="204">
        <v>9100.2000000000007</v>
      </c>
      <c r="O48" s="204">
        <v>9110.9</v>
      </c>
      <c r="P48" s="204">
        <v>9110.9</v>
      </c>
      <c r="Q48" s="204">
        <f t="shared" si="4"/>
        <v>98353.9</v>
      </c>
      <c r="R48" s="328"/>
    </row>
    <row r="49" spans="1:18" ht="35.1" customHeight="1" x14ac:dyDescent="0.25">
      <c r="A49" s="453"/>
      <c r="B49" s="450"/>
      <c r="C49" s="328"/>
      <c r="D49" s="20">
        <v>975</v>
      </c>
      <c r="E49" s="207" t="s">
        <v>350</v>
      </c>
      <c r="F49" s="207" t="s">
        <v>355</v>
      </c>
      <c r="G49" s="208">
        <v>622</v>
      </c>
      <c r="H49" s="204">
        <v>150</v>
      </c>
      <c r="I49" s="204"/>
      <c r="J49" s="204"/>
      <c r="K49" s="204"/>
      <c r="L49" s="204"/>
      <c r="M49" s="204"/>
      <c r="N49" s="204"/>
      <c r="O49" s="204"/>
      <c r="P49" s="204">
        <f t="shared" si="5"/>
        <v>0</v>
      </c>
      <c r="Q49" s="204">
        <f t="shared" si="4"/>
        <v>150</v>
      </c>
      <c r="R49" s="328"/>
    </row>
    <row r="50" spans="1:18" ht="35.1" customHeight="1" x14ac:dyDescent="0.25">
      <c r="A50" s="453"/>
      <c r="B50" s="450"/>
      <c r="C50" s="328"/>
      <c r="D50" s="20">
        <v>975</v>
      </c>
      <c r="E50" s="207" t="s">
        <v>350</v>
      </c>
      <c r="F50" s="207" t="s">
        <v>355</v>
      </c>
      <c r="G50" s="208">
        <v>850</v>
      </c>
      <c r="H50" s="204">
        <v>26.5</v>
      </c>
      <c r="I50" s="204">
        <v>121.1</v>
      </c>
      <c r="J50" s="204">
        <v>14.2</v>
      </c>
      <c r="K50" s="204">
        <v>12.5</v>
      </c>
      <c r="L50" s="204">
        <v>136.1</v>
      </c>
      <c r="M50" s="204">
        <v>8.9</v>
      </c>
      <c r="N50" s="204">
        <v>0</v>
      </c>
      <c r="O50" s="204">
        <v>0</v>
      </c>
      <c r="P50" s="204">
        <v>0</v>
      </c>
      <c r="Q50" s="204">
        <f t="shared" si="4"/>
        <v>319.29999999999995</v>
      </c>
      <c r="R50" s="328"/>
    </row>
    <row r="51" spans="1:18" ht="35.1" customHeight="1" x14ac:dyDescent="0.25">
      <c r="A51" s="453"/>
      <c r="B51" s="450"/>
      <c r="C51" s="328"/>
      <c r="D51" s="20" t="s">
        <v>18</v>
      </c>
      <c r="E51" s="208" t="s">
        <v>350</v>
      </c>
      <c r="F51" s="207" t="s">
        <v>403</v>
      </c>
      <c r="G51" s="208">
        <v>110</v>
      </c>
      <c r="H51" s="204">
        <v>671.1</v>
      </c>
      <c r="I51" s="204">
        <v>882.4</v>
      </c>
      <c r="J51" s="204">
        <v>1697.2</v>
      </c>
      <c r="K51" s="204">
        <f>1447.3+437.1</f>
        <v>1884.4</v>
      </c>
      <c r="L51" s="204">
        <v>2298.1</v>
      </c>
      <c r="M51" s="204">
        <v>1906.9</v>
      </c>
      <c r="N51" s="204">
        <v>0</v>
      </c>
      <c r="O51" s="204">
        <v>0</v>
      </c>
      <c r="P51" s="204">
        <v>0</v>
      </c>
      <c r="Q51" s="204">
        <f t="shared" si="4"/>
        <v>9340.1</v>
      </c>
      <c r="R51" s="328"/>
    </row>
    <row r="52" spans="1:18" ht="35.1" customHeight="1" x14ac:dyDescent="0.25">
      <c r="A52" s="453"/>
      <c r="B52" s="450"/>
      <c r="C52" s="328"/>
      <c r="D52" s="20" t="s">
        <v>18</v>
      </c>
      <c r="E52" s="208" t="s">
        <v>350</v>
      </c>
      <c r="F52" s="207" t="s">
        <v>403</v>
      </c>
      <c r="G52" s="208">
        <v>611</v>
      </c>
      <c r="H52" s="204">
        <v>1841.5</v>
      </c>
      <c r="I52" s="204">
        <v>2844</v>
      </c>
      <c r="J52" s="204">
        <v>7162.7</v>
      </c>
      <c r="K52" s="204">
        <v>5652.6</v>
      </c>
      <c r="L52" s="204">
        <v>9203</v>
      </c>
      <c r="M52" s="204">
        <v>14852.2</v>
      </c>
      <c r="N52" s="204">
        <v>12390.6</v>
      </c>
      <c r="O52" s="204">
        <v>12390.6</v>
      </c>
      <c r="P52" s="204">
        <v>12390.6</v>
      </c>
      <c r="Q52" s="204">
        <f t="shared" si="4"/>
        <v>78727.8</v>
      </c>
      <c r="R52" s="328"/>
    </row>
    <row r="53" spans="1:18" ht="35.1" customHeight="1" x14ac:dyDescent="0.25">
      <c r="A53" s="453"/>
      <c r="B53" s="450"/>
      <c r="C53" s="328"/>
      <c r="D53" s="20">
        <v>975</v>
      </c>
      <c r="E53" s="207" t="s">
        <v>350</v>
      </c>
      <c r="F53" s="207" t="s">
        <v>403</v>
      </c>
      <c r="G53" s="208">
        <v>621</v>
      </c>
      <c r="H53" s="204"/>
      <c r="I53" s="204">
        <v>34.200000000000003</v>
      </c>
      <c r="J53" s="204">
        <v>65.400000000000006</v>
      </c>
      <c r="K53" s="204">
        <v>91.9</v>
      </c>
      <c r="L53" s="204">
        <v>172.8</v>
      </c>
      <c r="M53" s="204">
        <v>155.4</v>
      </c>
      <c r="N53" s="204">
        <v>179.7</v>
      </c>
      <c r="O53" s="204">
        <v>179.7</v>
      </c>
      <c r="P53" s="204">
        <v>179.7</v>
      </c>
      <c r="Q53" s="204">
        <f t="shared" si="4"/>
        <v>1058.8000000000002</v>
      </c>
      <c r="R53" s="328"/>
    </row>
    <row r="54" spans="1:18" ht="35.1" customHeight="1" x14ac:dyDescent="0.25">
      <c r="A54" s="453"/>
      <c r="B54" s="450"/>
      <c r="C54" s="328"/>
      <c r="D54" s="20" t="s">
        <v>18</v>
      </c>
      <c r="E54" s="208" t="s">
        <v>350</v>
      </c>
      <c r="F54" s="207" t="s">
        <v>404</v>
      </c>
      <c r="G54" s="208">
        <v>611</v>
      </c>
      <c r="H54" s="204">
        <v>946.6</v>
      </c>
      <c r="I54" s="204">
        <v>1533.9</v>
      </c>
      <c r="J54" s="204"/>
      <c r="K54" s="204"/>
      <c r="L54" s="204"/>
      <c r="M54" s="204"/>
      <c r="N54" s="204"/>
      <c r="O54" s="204"/>
      <c r="P54" s="204">
        <f t="shared" si="5"/>
        <v>0</v>
      </c>
      <c r="Q54" s="204">
        <f t="shared" si="4"/>
        <v>2480.5</v>
      </c>
      <c r="R54" s="328"/>
    </row>
    <row r="55" spans="1:18" ht="35.1" customHeight="1" x14ac:dyDescent="0.25">
      <c r="A55" s="453"/>
      <c r="B55" s="450"/>
      <c r="C55" s="328"/>
      <c r="D55" s="20" t="s">
        <v>18</v>
      </c>
      <c r="E55" s="208" t="s">
        <v>350</v>
      </c>
      <c r="F55" s="207" t="s">
        <v>405</v>
      </c>
      <c r="G55" s="208">
        <v>110</v>
      </c>
      <c r="H55" s="204">
        <v>17</v>
      </c>
      <c r="I55" s="204"/>
      <c r="J55" s="204"/>
      <c r="K55" s="204"/>
      <c r="L55" s="204"/>
      <c r="M55" s="204"/>
      <c r="N55" s="204"/>
      <c r="O55" s="204"/>
      <c r="P55" s="204">
        <f t="shared" si="5"/>
        <v>0</v>
      </c>
      <c r="Q55" s="204">
        <f t="shared" si="4"/>
        <v>17</v>
      </c>
      <c r="R55" s="328"/>
    </row>
    <row r="56" spans="1:18" ht="35.1" customHeight="1" x14ac:dyDescent="0.25">
      <c r="A56" s="453"/>
      <c r="B56" s="450"/>
      <c r="C56" s="328"/>
      <c r="D56" s="20" t="s">
        <v>18</v>
      </c>
      <c r="E56" s="208" t="s">
        <v>350</v>
      </c>
      <c r="F56" s="207" t="s">
        <v>405</v>
      </c>
      <c r="G56" s="208">
        <v>611</v>
      </c>
      <c r="H56" s="204">
        <v>20.7</v>
      </c>
      <c r="I56" s="204"/>
      <c r="J56" s="204"/>
      <c r="K56" s="204"/>
      <c r="L56" s="204"/>
      <c r="M56" s="204"/>
      <c r="N56" s="204"/>
      <c r="O56" s="204"/>
      <c r="P56" s="204">
        <f t="shared" si="5"/>
        <v>0</v>
      </c>
      <c r="Q56" s="204">
        <f t="shared" si="4"/>
        <v>20.7</v>
      </c>
      <c r="R56" s="328"/>
    </row>
    <row r="57" spans="1:18" ht="35.1" hidden="1" customHeight="1" x14ac:dyDescent="0.25">
      <c r="A57" s="453"/>
      <c r="B57" s="450"/>
      <c r="C57" s="328"/>
      <c r="D57" s="20" t="s">
        <v>18</v>
      </c>
      <c r="E57" s="208" t="s">
        <v>350</v>
      </c>
      <c r="F57" s="207" t="s">
        <v>405</v>
      </c>
      <c r="G57" s="208">
        <v>621</v>
      </c>
      <c r="H57" s="204">
        <v>0</v>
      </c>
      <c r="I57" s="204"/>
      <c r="J57" s="204"/>
      <c r="K57" s="204"/>
      <c r="L57" s="204"/>
      <c r="M57" s="204"/>
      <c r="N57" s="204"/>
      <c r="O57" s="204"/>
      <c r="P57" s="204">
        <f t="shared" si="5"/>
        <v>0</v>
      </c>
      <c r="Q57" s="204">
        <f t="shared" si="4"/>
        <v>0</v>
      </c>
      <c r="R57" s="328"/>
    </row>
    <row r="58" spans="1:18" ht="35.1" hidden="1" customHeight="1" x14ac:dyDescent="0.25">
      <c r="A58" s="453"/>
      <c r="B58" s="450"/>
      <c r="C58" s="328"/>
      <c r="D58" s="20">
        <v>975</v>
      </c>
      <c r="E58" s="207" t="s">
        <v>350</v>
      </c>
      <c r="F58" s="207" t="s">
        <v>406</v>
      </c>
      <c r="G58" s="208">
        <v>611</v>
      </c>
      <c r="H58" s="204"/>
      <c r="I58" s="204"/>
      <c r="J58" s="204">
        <v>0</v>
      </c>
      <c r="K58" s="204"/>
      <c r="L58" s="204"/>
      <c r="M58" s="204"/>
      <c r="N58" s="204"/>
      <c r="O58" s="204"/>
      <c r="P58" s="204">
        <f t="shared" si="5"/>
        <v>0</v>
      </c>
      <c r="Q58" s="204">
        <f t="shared" si="4"/>
        <v>0</v>
      </c>
      <c r="R58" s="328"/>
    </row>
    <row r="59" spans="1:18" ht="35.1" customHeight="1" x14ac:dyDescent="0.25">
      <c r="A59" s="453"/>
      <c r="B59" s="450"/>
      <c r="C59" s="328"/>
      <c r="D59" s="20">
        <v>975</v>
      </c>
      <c r="E59" s="207" t="s">
        <v>350</v>
      </c>
      <c r="F59" s="207" t="s">
        <v>407</v>
      </c>
      <c r="G59" s="208">
        <v>611</v>
      </c>
      <c r="H59" s="204"/>
      <c r="I59" s="204"/>
      <c r="J59" s="204">
        <v>69.8</v>
      </c>
      <c r="K59" s="204"/>
      <c r="L59" s="204"/>
      <c r="M59" s="204"/>
      <c r="N59" s="204"/>
      <c r="O59" s="204"/>
      <c r="P59" s="204">
        <f t="shared" si="5"/>
        <v>0</v>
      </c>
      <c r="Q59" s="204">
        <f t="shared" si="4"/>
        <v>69.8</v>
      </c>
      <c r="R59" s="328"/>
    </row>
    <row r="60" spans="1:18" ht="35.1" customHeight="1" x14ac:dyDescent="0.25">
      <c r="A60" s="453"/>
      <c r="B60" s="450"/>
      <c r="C60" s="328"/>
      <c r="D60" s="20">
        <v>975</v>
      </c>
      <c r="E60" s="207" t="s">
        <v>350</v>
      </c>
      <c r="F60" s="207" t="s">
        <v>408</v>
      </c>
      <c r="G60" s="208">
        <v>611</v>
      </c>
      <c r="H60" s="204">
        <v>50.1</v>
      </c>
      <c r="I60" s="204">
        <v>30</v>
      </c>
      <c r="J60" s="204"/>
      <c r="K60" s="204"/>
      <c r="L60" s="204"/>
      <c r="M60" s="204"/>
      <c r="N60" s="204"/>
      <c r="O60" s="204"/>
      <c r="P60" s="204">
        <f t="shared" si="5"/>
        <v>0</v>
      </c>
      <c r="Q60" s="204">
        <f t="shared" si="4"/>
        <v>80.099999999999994</v>
      </c>
      <c r="R60" s="328"/>
    </row>
    <row r="61" spans="1:18" ht="35.1" customHeight="1" x14ac:dyDescent="0.25">
      <c r="A61" s="453" t="s">
        <v>140</v>
      </c>
      <c r="B61" s="450" t="s">
        <v>409</v>
      </c>
      <c r="C61" s="328"/>
      <c r="D61" s="20">
        <v>975</v>
      </c>
      <c r="E61" s="207" t="s">
        <v>350</v>
      </c>
      <c r="F61" s="207" t="s">
        <v>410</v>
      </c>
      <c r="G61" s="217" t="s">
        <v>411</v>
      </c>
      <c r="H61" s="204">
        <v>2069.1</v>
      </c>
      <c r="I61" s="204">
        <v>2048.5</v>
      </c>
      <c r="J61" s="204">
        <v>2159.8000000000002</v>
      </c>
      <c r="K61" s="204">
        <f>1921.59+580.31</f>
        <v>2501.8999999999996</v>
      </c>
      <c r="L61" s="204">
        <v>2453.9</v>
      </c>
      <c r="M61" s="204">
        <f>1245.3+32</f>
        <v>1277.3</v>
      </c>
      <c r="N61" s="204">
        <v>0</v>
      </c>
      <c r="O61" s="204">
        <v>0</v>
      </c>
      <c r="P61" s="204">
        <v>0</v>
      </c>
      <c r="Q61" s="204">
        <f t="shared" si="4"/>
        <v>12510.499999999998</v>
      </c>
      <c r="R61" s="328"/>
    </row>
    <row r="62" spans="1:18" ht="35.1" customHeight="1" x14ac:dyDescent="0.25">
      <c r="A62" s="453"/>
      <c r="B62" s="450"/>
      <c r="C62" s="328"/>
      <c r="D62" s="20">
        <v>975</v>
      </c>
      <c r="E62" s="207" t="s">
        <v>350</v>
      </c>
      <c r="F62" s="207" t="s">
        <v>410</v>
      </c>
      <c r="G62" s="208">
        <v>244</v>
      </c>
      <c r="H62" s="204">
        <v>48</v>
      </c>
      <c r="I62" s="204">
        <v>49.5</v>
      </c>
      <c r="J62" s="204">
        <v>152</v>
      </c>
      <c r="K62" s="204">
        <v>194.7</v>
      </c>
      <c r="L62" s="204">
        <v>150.69999999999999</v>
      </c>
      <c r="M62" s="204">
        <v>117.6</v>
      </c>
      <c r="N62" s="204">
        <v>0</v>
      </c>
      <c r="O62" s="204">
        <v>0</v>
      </c>
      <c r="P62" s="204">
        <v>0</v>
      </c>
      <c r="Q62" s="204">
        <f t="shared" si="4"/>
        <v>712.5</v>
      </c>
      <c r="R62" s="328"/>
    </row>
    <row r="63" spans="1:18" ht="35.1" customHeight="1" x14ac:dyDescent="0.25">
      <c r="A63" s="453"/>
      <c r="B63" s="450"/>
      <c r="C63" s="328"/>
      <c r="D63" s="20">
        <v>975</v>
      </c>
      <c r="E63" s="207" t="s">
        <v>350</v>
      </c>
      <c r="F63" s="207" t="s">
        <v>410</v>
      </c>
      <c r="G63" s="208">
        <v>611</v>
      </c>
      <c r="H63" s="204">
        <v>69419.8</v>
      </c>
      <c r="I63" s="204">
        <v>74727.600000000006</v>
      </c>
      <c r="J63" s="204">
        <v>75371.399999999994</v>
      </c>
      <c r="K63" s="204">
        <v>82441.7</v>
      </c>
      <c r="L63" s="204">
        <v>87113.3</v>
      </c>
      <c r="M63" s="204">
        <v>84914.7</v>
      </c>
      <c r="N63" s="204">
        <v>91000</v>
      </c>
      <c r="O63" s="204">
        <v>90472.6</v>
      </c>
      <c r="P63" s="204">
        <v>90472.6</v>
      </c>
      <c r="Q63" s="204">
        <f t="shared" si="4"/>
        <v>745933.7</v>
      </c>
      <c r="R63" s="328"/>
    </row>
    <row r="64" spans="1:18" ht="35.1" customHeight="1" x14ac:dyDescent="0.25">
      <c r="A64" s="453"/>
      <c r="B64" s="450"/>
      <c r="C64" s="328"/>
      <c r="D64" s="20">
        <v>975</v>
      </c>
      <c r="E64" s="207" t="s">
        <v>412</v>
      </c>
      <c r="F64" s="207" t="s">
        <v>410</v>
      </c>
      <c r="G64" s="208">
        <v>611</v>
      </c>
      <c r="H64" s="204"/>
      <c r="I64" s="204"/>
      <c r="J64" s="204"/>
      <c r="K64" s="204"/>
      <c r="L64" s="204"/>
      <c r="M64" s="204">
        <v>10565.4</v>
      </c>
      <c r="N64" s="204">
        <v>10775.8</v>
      </c>
      <c r="O64" s="204">
        <v>10775.8</v>
      </c>
      <c r="P64" s="204">
        <v>10775.8</v>
      </c>
      <c r="Q64" s="204">
        <f t="shared" si="4"/>
        <v>42892.799999999996</v>
      </c>
      <c r="R64" s="328"/>
    </row>
    <row r="65" spans="1:18" ht="35.1" customHeight="1" x14ac:dyDescent="0.25">
      <c r="A65" s="453"/>
      <c r="B65" s="450"/>
      <c r="C65" s="328"/>
      <c r="D65" s="20">
        <v>975</v>
      </c>
      <c r="E65" s="207" t="s">
        <v>350</v>
      </c>
      <c r="F65" s="207" t="s">
        <v>410</v>
      </c>
      <c r="G65" s="208">
        <v>612</v>
      </c>
      <c r="H65" s="204">
        <v>1060.3</v>
      </c>
      <c r="I65" s="204">
        <v>685.7</v>
      </c>
      <c r="J65" s="204">
        <v>3330.5</v>
      </c>
      <c r="K65" s="204">
        <v>4576</v>
      </c>
      <c r="L65" s="204">
        <v>4798.1000000000004</v>
      </c>
      <c r="M65" s="204">
        <v>4598.3999999999996</v>
      </c>
      <c r="N65" s="204">
        <v>0</v>
      </c>
      <c r="O65" s="204">
        <v>0</v>
      </c>
      <c r="P65" s="204">
        <v>0</v>
      </c>
      <c r="Q65" s="204">
        <f t="shared" si="4"/>
        <v>19049</v>
      </c>
      <c r="R65" s="328"/>
    </row>
    <row r="66" spans="1:18" ht="35.1" customHeight="1" x14ac:dyDescent="0.25">
      <c r="A66" s="453"/>
      <c r="B66" s="450"/>
      <c r="C66" s="328"/>
      <c r="D66" s="20">
        <v>975</v>
      </c>
      <c r="E66" s="207" t="s">
        <v>350</v>
      </c>
      <c r="F66" s="207" t="s">
        <v>410</v>
      </c>
      <c r="G66" s="208">
        <v>621</v>
      </c>
      <c r="H66" s="204">
        <v>28912.7</v>
      </c>
      <c r="I66" s="204">
        <v>29234.2</v>
      </c>
      <c r="J66" s="204">
        <v>29412</v>
      </c>
      <c r="K66" s="204">
        <v>31346.1</v>
      </c>
      <c r="L66" s="204">
        <v>32415.7</v>
      </c>
      <c r="M66" s="204">
        <v>31196.1</v>
      </c>
      <c r="N66" s="204">
        <v>30131.7</v>
      </c>
      <c r="O66" s="204">
        <v>30131.7</v>
      </c>
      <c r="P66" s="204">
        <v>30131.7</v>
      </c>
      <c r="Q66" s="204">
        <f t="shared" si="4"/>
        <v>272911.90000000002</v>
      </c>
      <c r="R66" s="328"/>
    </row>
    <row r="67" spans="1:18" ht="35.1" customHeight="1" x14ac:dyDescent="0.25">
      <c r="A67" s="453"/>
      <c r="B67" s="450"/>
      <c r="C67" s="328"/>
      <c r="D67" s="20">
        <v>975</v>
      </c>
      <c r="E67" s="207" t="s">
        <v>412</v>
      </c>
      <c r="F67" s="207" t="s">
        <v>410</v>
      </c>
      <c r="G67" s="208">
        <v>621</v>
      </c>
      <c r="H67" s="204"/>
      <c r="I67" s="204"/>
      <c r="J67" s="204"/>
      <c r="K67" s="204"/>
      <c r="L67" s="204"/>
      <c r="M67" s="204">
        <v>4913.8</v>
      </c>
      <c r="N67" s="204">
        <v>4703.3999999999996</v>
      </c>
      <c r="O67" s="204">
        <v>4703.3999999999996</v>
      </c>
      <c r="P67" s="204">
        <v>4703.3999999999996</v>
      </c>
      <c r="Q67" s="204">
        <f t="shared" si="4"/>
        <v>19024</v>
      </c>
      <c r="R67" s="328"/>
    </row>
    <row r="68" spans="1:18" ht="35.1" customHeight="1" x14ac:dyDescent="0.25">
      <c r="A68" s="453"/>
      <c r="B68" s="450"/>
      <c r="C68" s="328"/>
      <c r="D68" s="20">
        <v>975</v>
      </c>
      <c r="E68" s="207" t="s">
        <v>350</v>
      </c>
      <c r="F68" s="207" t="s">
        <v>410</v>
      </c>
      <c r="G68" s="208">
        <v>622</v>
      </c>
      <c r="H68" s="204">
        <v>348.3</v>
      </c>
      <c r="I68" s="204">
        <v>360.9</v>
      </c>
      <c r="J68" s="204">
        <v>1248.9000000000001</v>
      </c>
      <c r="K68" s="204">
        <v>1661.6</v>
      </c>
      <c r="L68" s="204">
        <v>1917.9</v>
      </c>
      <c r="M68" s="204">
        <v>1604.6</v>
      </c>
      <c r="N68" s="204">
        <v>0</v>
      </c>
      <c r="O68" s="204">
        <v>0</v>
      </c>
      <c r="P68" s="204">
        <v>0</v>
      </c>
      <c r="Q68" s="204">
        <f t="shared" si="4"/>
        <v>7142.2000000000007</v>
      </c>
      <c r="R68" s="328"/>
    </row>
    <row r="69" spans="1:18" ht="35.1" customHeight="1" x14ac:dyDescent="0.25">
      <c r="A69" s="453"/>
      <c r="B69" s="450"/>
      <c r="C69" s="328"/>
      <c r="D69" s="20">
        <v>975</v>
      </c>
      <c r="E69" s="207" t="s">
        <v>350</v>
      </c>
      <c r="F69" s="207" t="s">
        <v>410</v>
      </c>
      <c r="G69" s="208">
        <v>870</v>
      </c>
      <c r="H69" s="204"/>
      <c r="I69" s="204"/>
      <c r="J69" s="204"/>
      <c r="K69" s="204">
        <v>1355.7</v>
      </c>
      <c r="L69" s="204"/>
      <c r="M69" s="204"/>
      <c r="N69" s="204"/>
      <c r="O69" s="204"/>
      <c r="P69" s="204">
        <f t="shared" si="5"/>
        <v>0</v>
      </c>
      <c r="Q69" s="204">
        <f t="shared" si="4"/>
        <v>1355.7</v>
      </c>
      <c r="R69" s="328"/>
    </row>
    <row r="70" spans="1:18" ht="35.1" customHeight="1" x14ac:dyDescent="0.25">
      <c r="A70" s="453"/>
      <c r="B70" s="450"/>
      <c r="C70" s="328"/>
      <c r="D70" s="20">
        <v>975</v>
      </c>
      <c r="E70" s="207" t="s">
        <v>350</v>
      </c>
      <c r="F70" s="207" t="s">
        <v>413</v>
      </c>
      <c r="G70" s="208">
        <v>110</v>
      </c>
      <c r="H70" s="204">
        <v>19.7</v>
      </c>
      <c r="I70" s="204"/>
      <c r="J70" s="204"/>
      <c r="K70" s="204"/>
      <c r="L70" s="204"/>
      <c r="M70" s="204"/>
      <c r="N70" s="204"/>
      <c r="O70" s="204"/>
      <c r="P70" s="204">
        <f t="shared" si="5"/>
        <v>0</v>
      </c>
      <c r="Q70" s="204">
        <f t="shared" si="4"/>
        <v>19.7</v>
      </c>
      <c r="R70" s="328"/>
    </row>
    <row r="71" spans="1:18" ht="35.1" customHeight="1" x14ac:dyDescent="0.25">
      <c r="A71" s="453"/>
      <c r="B71" s="450"/>
      <c r="C71" s="328"/>
      <c r="D71" s="20">
        <v>975</v>
      </c>
      <c r="E71" s="207" t="s">
        <v>350</v>
      </c>
      <c r="F71" s="207" t="s">
        <v>414</v>
      </c>
      <c r="G71" s="208">
        <v>110</v>
      </c>
      <c r="H71" s="204"/>
      <c r="I71" s="204"/>
      <c r="J71" s="204">
        <v>911.7</v>
      </c>
      <c r="K71" s="204">
        <v>908.9</v>
      </c>
      <c r="L71" s="204">
        <f>724.5+218.8</f>
        <v>943.3</v>
      </c>
      <c r="M71" s="204">
        <v>456.8</v>
      </c>
      <c r="N71" s="204">
        <v>0</v>
      </c>
      <c r="O71" s="204">
        <v>0</v>
      </c>
      <c r="P71" s="204">
        <v>0</v>
      </c>
      <c r="Q71" s="204">
        <f t="shared" si="4"/>
        <v>3220.7</v>
      </c>
      <c r="R71" s="328"/>
    </row>
    <row r="72" spans="1:18" ht="35.1" customHeight="1" x14ac:dyDescent="0.25">
      <c r="A72" s="453"/>
      <c r="B72" s="450"/>
      <c r="C72" s="328"/>
      <c r="D72" s="20">
        <v>975</v>
      </c>
      <c r="E72" s="207" t="s">
        <v>350</v>
      </c>
      <c r="F72" s="207" t="s">
        <v>414</v>
      </c>
      <c r="G72" s="208">
        <v>240</v>
      </c>
      <c r="H72" s="204"/>
      <c r="I72" s="204"/>
      <c r="J72" s="204">
        <v>17.5</v>
      </c>
      <c r="K72" s="204">
        <v>20.2</v>
      </c>
      <c r="L72" s="204">
        <v>20.2</v>
      </c>
      <c r="M72" s="204">
        <v>13.9</v>
      </c>
      <c r="N72" s="204">
        <v>0</v>
      </c>
      <c r="O72" s="204">
        <v>0</v>
      </c>
      <c r="P72" s="204">
        <v>0</v>
      </c>
      <c r="Q72" s="204">
        <f t="shared" si="4"/>
        <v>71.800000000000011</v>
      </c>
      <c r="R72" s="328"/>
    </row>
    <row r="73" spans="1:18" ht="35.1" customHeight="1" x14ac:dyDescent="0.25">
      <c r="A73" s="453"/>
      <c r="B73" s="450"/>
      <c r="C73" s="328"/>
      <c r="D73" s="20">
        <v>975</v>
      </c>
      <c r="E73" s="207" t="s">
        <v>350</v>
      </c>
      <c r="F73" s="207" t="s">
        <v>414</v>
      </c>
      <c r="G73" s="208">
        <v>611</v>
      </c>
      <c r="H73" s="204"/>
      <c r="I73" s="204"/>
      <c r="J73" s="204">
        <v>19514.400000000001</v>
      </c>
      <c r="K73" s="204">
        <v>19413.400000000001</v>
      </c>
      <c r="L73" s="204">
        <v>20229.8</v>
      </c>
      <c r="M73" s="204">
        <v>22664.400000000001</v>
      </c>
      <c r="N73" s="204">
        <v>24546.799999999999</v>
      </c>
      <c r="O73" s="204">
        <v>24500.5</v>
      </c>
      <c r="P73" s="204">
        <v>24500.5</v>
      </c>
      <c r="Q73" s="204">
        <f t="shared" si="4"/>
        <v>155369.79999999999</v>
      </c>
      <c r="R73" s="328"/>
    </row>
    <row r="74" spans="1:18" ht="35.1" customHeight="1" x14ac:dyDescent="0.25">
      <c r="A74" s="453"/>
      <c r="B74" s="450"/>
      <c r="C74" s="328"/>
      <c r="D74" s="20">
        <v>975</v>
      </c>
      <c r="E74" s="207" t="s">
        <v>350</v>
      </c>
      <c r="F74" s="207" t="s">
        <v>414</v>
      </c>
      <c r="G74" s="208">
        <v>612</v>
      </c>
      <c r="H74" s="204"/>
      <c r="I74" s="204"/>
      <c r="J74" s="204"/>
      <c r="K74" s="204">
        <v>119</v>
      </c>
      <c r="L74" s="204">
        <v>113</v>
      </c>
      <c r="M74" s="204">
        <v>118</v>
      </c>
      <c r="N74" s="204">
        <v>0</v>
      </c>
      <c r="O74" s="204">
        <v>0</v>
      </c>
      <c r="P74" s="204">
        <v>0</v>
      </c>
      <c r="Q74" s="204">
        <f t="shared" si="4"/>
        <v>350</v>
      </c>
      <c r="R74" s="328"/>
    </row>
    <row r="75" spans="1:18" ht="35.1" customHeight="1" x14ac:dyDescent="0.25">
      <c r="A75" s="453"/>
      <c r="B75" s="450"/>
      <c r="C75" s="328"/>
      <c r="D75" s="20">
        <v>975</v>
      </c>
      <c r="E75" s="207" t="s">
        <v>350</v>
      </c>
      <c r="F75" s="207" t="s">
        <v>414</v>
      </c>
      <c r="G75" s="208">
        <v>621</v>
      </c>
      <c r="H75" s="204"/>
      <c r="I75" s="204"/>
      <c r="J75" s="204">
        <v>9019.2000000000007</v>
      </c>
      <c r="K75" s="204">
        <v>9035.1</v>
      </c>
      <c r="L75" s="204">
        <v>9369.2999999999993</v>
      </c>
      <c r="M75" s="204">
        <v>7901</v>
      </c>
      <c r="N75" s="204">
        <v>8111.6</v>
      </c>
      <c r="O75" s="204">
        <v>8111.6</v>
      </c>
      <c r="P75" s="204">
        <v>8111.6</v>
      </c>
      <c r="Q75" s="204">
        <f t="shared" si="4"/>
        <v>59659.4</v>
      </c>
      <c r="R75" s="328"/>
    </row>
    <row r="76" spans="1:18" ht="52.15" customHeight="1" x14ac:dyDescent="0.25">
      <c r="A76" s="453"/>
      <c r="B76" s="450"/>
      <c r="C76" s="328"/>
      <c r="D76" s="20">
        <v>975</v>
      </c>
      <c r="E76" s="207" t="s">
        <v>350</v>
      </c>
      <c r="F76" s="207" t="s">
        <v>415</v>
      </c>
      <c r="G76" s="208">
        <v>621</v>
      </c>
      <c r="H76" s="204"/>
      <c r="I76" s="204"/>
      <c r="J76" s="204"/>
      <c r="K76" s="204"/>
      <c r="L76" s="204">
        <v>162.80000000000001</v>
      </c>
      <c r="M76" s="204">
        <v>48.8</v>
      </c>
      <c r="N76" s="204">
        <v>2.8</v>
      </c>
      <c r="O76" s="204">
        <v>0</v>
      </c>
      <c r="P76" s="204">
        <f t="shared" si="5"/>
        <v>0</v>
      </c>
      <c r="Q76" s="204">
        <f t="shared" si="4"/>
        <v>214.40000000000003</v>
      </c>
      <c r="R76" s="328"/>
    </row>
    <row r="77" spans="1:18" ht="60.6" customHeight="1" x14ac:dyDescent="0.25">
      <c r="A77" s="453"/>
      <c r="B77" s="450"/>
      <c r="C77" s="328"/>
      <c r="D77" s="20">
        <v>975</v>
      </c>
      <c r="E77" s="207" t="s">
        <v>350</v>
      </c>
      <c r="F77" s="207" t="s">
        <v>416</v>
      </c>
      <c r="G77" s="208">
        <v>611</v>
      </c>
      <c r="H77" s="204"/>
      <c r="I77" s="204"/>
      <c r="J77" s="204"/>
      <c r="K77" s="204"/>
      <c r="L77" s="204">
        <v>329.3</v>
      </c>
      <c r="M77" s="204">
        <v>15</v>
      </c>
      <c r="N77" s="204">
        <v>1086.9000000000001</v>
      </c>
      <c r="O77" s="204">
        <v>0</v>
      </c>
      <c r="P77" s="204">
        <f t="shared" si="5"/>
        <v>0</v>
      </c>
      <c r="Q77" s="204">
        <f t="shared" si="4"/>
        <v>1431.2</v>
      </c>
      <c r="R77" s="328"/>
    </row>
    <row r="78" spans="1:18" ht="35.1" customHeight="1" x14ac:dyDescent="0.25">
      <c r="A78" s="453"/>
      <c r="B78" s="450"/>
      <c r="C78" s="328"/>
      <c r="D78" s="20">
        <v>975</v>
      </c>
      <c r="E78" s="207" t="s">
        <v>350</v>
      </c>
      <c r="F78" s="207" t="s">
        <v>417</v>
      </c>
      <c r="G78" s="208">
        <v>611</v>
      </c>
      <c r="H78" s="204"/>
      <c r="I78" s="204"/>
      <c r="J78" s="204"/>
      <c r="K78" s="204"/>
      <c r="L78" s="204"/>
      <c r="M78" s="204">
        <v>116.5</v>
      </c>
      <c r="N78" s="204"/>
      <c r="O78" s="204"/>
      <c r="P78" s="204"/>
      <c r="Q78" s="204">
        <f t="shared" si="4"/>
        <v>116.5</v>
      </c>
      <c r="R78" s="328"/>
    </row>
    <row r="79" spans="1:18" ht="35.1" customHeight="1" x14ac:dyDescent="0.25">
      <c r="A79" s="453"/>
      <c r="B79" s="450"/>
      <c r="C79" s="328"/>
      <c r="D79" s="20">
        <v>975</v>
      </c>
      <c r="E79" s="207" t="s">
        <v>350</v>
      </c>
      <c r="F79" s="207" t="s">
        <v>417</v>
      </c>
      <c r="G79" s="208">
        <v>621</v>
      </c>
      <c r="H79" s="204"/>
      <c r="I79" s="204"/>
      <c r="J79" s="204"/>
      <c r="K79" s="204"/>
      <c r="L79" s="204"/>
      <c r="M79" s="204">
        <v>3.6</v>
      </c>
      <c r="N79" s="204"/>
      <c r="O79" s="204"/>
      <c r="P79" s="204"/>
      <c r="Q79" s="204">
        <f t="shared" si="4"/>
        <v>3.6</v>
      </c>
      <c r="R79" s="328"/>
    </row>
    <row r="80" spans="1:18" ht="35.1" customHeight="1" x14ac:dyDescent="0.25">
      <c r="A80" s="453"/>
      <c r="B80" s="450"/>
      <c r="C80" s="328"/>
      <c r="D80" s="20">
        <v>975</v>
      </c>
      <c r="E80" s="207" t="s">
        <v>350</v>
      </c>
      <c r="F80" s="207" t="s">
        <v>418</v>
      </c>
      <c r="G80" s="208">
        <v>110</v>
      </c>
      <c r="H80" s="204"/>
      <c r="I80" s="204"/>
      <c r="J80" s="204"/>
      <c r="K80" s="204"/>
      <c r="L80" s="204">
        <v>460.4</v>
      </c>
      <c r="M80" s="204"/>
      <c r="N80" s="204"/>
      <c r="O80" s="204"/>
      <c r="P80" s="204">
        <f t="shared" si="5"/>
        <v>0</v>
      </c>
      <c r="Q80" s="204">
        <f t="shared" si="4"/>
        <v>460.4</v>
      </c>
      <c r="R80" s="328"/>
    </row>
    <row r="81" spans="1:21" ht="35.1" customHeight="1" x14ac:dyDescent="0.25">
      <c r="A81" s="453"/>
      <c r="B81" s="450"/>
      <c r="C81" s="328"/>
      <c r="D81" s="20">
        <v>975</v>
      </c>
      <c r="E81" s="207" t="s">
        <v>350</v>
      </c>
      <c r="F81" s="207" t="s">
        <v>414</v>
      </c>
      <c r="G81" s="208">
        <v>870</v>
      </c>
      <c r="H81" s="204"/>
      <c r="I81" s="204"/>
      <c r="J81" s="204"/>
      <c r="K81" s="204"/>
      <c r="L81" s="204"/>
      <c r="M81" s="204"/>
      <c r="N81" s="204"/>
      <c r="O81" s="204"/>
      <c r="P81" s="204">
        <f t="shared" si="5"/>
        <v>0</v>
      </c>
      <c r="Q81" s="204">
        <f t="shared" si="4"/>
        <v>0</v>
      </c>
      <c r="R81" s="328"/>
    </row>
    <row r="82" spans="1:21" ht="35.1" customHeight="1" x14ac:dyDescent="0.25">
      <c r="A82" s="453"/>
      <c r="B82" s="450"/>
      <c r="C82" s="328"/>
      <c r="D82" s="20">
        <v>975</v>
      </c>
      <c r="E82" s="207" t="s">
        <v>350</v>
      </c>
      <c r="F82" s="207" t="s">
        <v>413</v>
      </c>
      <c r="G82" s="208">
        <v>611</v>
      </c>
      <c r="H82" s="204">
        <v>77</v>
      </c>
      <c r="I82" s="204"/>
      <c r="J82" s="204"/>
      <c r="K82" s="204"/>
      <c r="L82" s="204"/>
      <c r="M82" s="204"/>
      <c r="N82" s="204"/>
      <c r="O82" s="204"/>
      <c r="P82" s="204">
        <f t="shared" si="5"/>
        <v>0</v>
      </c>
      <c r="Q82" s="204">
        <f t="shared" si="4"/>
        <v>77</v>
      </c>
      <c r="R82" s="328"/>
    </row>
    <row r="83" spans="1:21" ht="69.75" customHeight="1" x14ac:dyDescent="0.25">
      <c r="A83" s="218" t="s">
        <v>142</v>
      </c>
      <c r="B83" s="210" t="s">
        <v>419</v>
      </c>
      <c r="C83" s="20" t="s">
        <v>17</v>
      </c>
      <c r="D83" s="207" t="s">
        <v>18</v>
      </c>
      <c r="E83" s="207" t="s">
        <v>350</v>
      </c>
      <c r="F83" s="20" t="s">
        <v>15</v>
      </c>
      <c r="G83" s="20" t="s">
        <v>15</v>
      </c>
      <c r="H83" s="48">
        <v>777.6</v>
      </c>
      <c r="I83" s="48">
        <v>532.1</v>
      </c>
      <c r="J83" s="48">
        <v>1013.8</v>
      </c>
      <c r="K83" s="48">
        <v>1013.8</v>
      </c>
      <c r="L83" s="48">
        <f>201+878</f>
        <v>1079</v>
      </c>
      <c r="M83" s="48">
        <f>772.8+3490.5</f>
        <v>4263.3</v>
      </c>
      <c r="N83" s="47">
        <f>1085+5315.8</f>
        <v>6400.8</v>
      </c>
      <c r="O83" s="48">
        <f>1407+5315.8-4300</f>
        <v>2422.8000000000002</v>
      </c>
      <c r="P83" s="48">
        <f>1407+5315.8-4300</f>
        <v>2422.8000000000002</v>
      </c>
      <c r="Q83" s="204">
        <f t="shared" si="4"/>
        <v>19926</v>
      </c>
      <c r="R83" s="328"/>
    </row>
    <row r="84" spans="1:21" ht="75" hidden="1" customHeight="1" x14ac:dyDescent="0.25">
      <c r="A84" s="219" t="s">
        <v>140</v>
      </c>
      <c r="B84" s="220" t="s">
        <v>420</v>
      </c>
      <c r="C84" s="220" t="s">
        <v>17</v>
      </c>
      <c r="D84" s="221" t="s">
        <v>18</v>
      </c>
      <c r="E84" s="221" t="s">
        <v>350</v>
      </c>
      <c r="F84" s="221" t="s">
        <v>15</v>
      </c>
      <c r="G84" s="220" t="s">
        <v>15</v>
      </c>
      <c r="H84" s="222">
        <v>0</v>
      </c>
      <c r="I84" s="222">
        <v>0</v>
      </c>
      <c r="J84" s="222">
        <v>0</v>
      </c>
      <c r="K84" s="222"/>
      <c r="L84" s="222"/>
      <c r="M84" s="222"/>
      <c r="N84" s="222"/>
      <c r="O84" s="222"/>
      <c r="P84" s="204">
        <f t="shared" si="5"/>
        <v>0</v>
      </c>
      <c r="Q84" s="204">
        <f t="shared" si="4"/>
        <v>0</v>
      </c>
      <c r="R84" s="20" t="s">
        <v>421</v>
      </c>
      <c r="S84" s="34">
        <v>2</v>
      </c>
    </row>
    <row r="85" spans="1:21" ht="134.25" hidden="1" customHeight="1" x14ac:dyDescent="0.25">
      <c r="A85" s="219" t="s">
        <v>142</v>
      </c>
      <c r="B85" s="210" t="s">
        <v>422</v>
      </c>
      <c r="C85" s="20" t="s">
        <v>17</v>
      </c>
      <c r="D85" s="219" t="s">
        <v>18</v>
      </c>
      <c r="E85" s="219" t="s">
        <v>423</v>
      </c>
      <c r="F85" s="219" t="s">
        <v>15</v>
      </c>
      <c r="G85" s="20" t="s">
        <v>15</v>
      </c>
      <c r="H85" s="48">
        <v>0</v>
      </c>
      <c r="I85" s="48">
        <v>0</v>
      </c>
      <c r="J85" s="48">
        <v>0</v>
      </c>
      <c r="K85" s="48"/>
      <c r="L85" s="48"/>
      <c r="M85" s="48"/>
      <c r="N85" s="48"/>
      <c r="O85" s="48"/>
      <c r="P85" s="204">
        <f t="shared" si="5"/>
        <v>0</v>
      </c>
      <c r="Q85" s="204">
        <f t="shared" si="4"/>
        <v>0</v>
      </c>
      <c r="R85" s="20" t="s">
        <v>424</v>
      </c>
    </row>
    <row r="86" spans="1:21" ht="72.75" hidden="1" customHeight="1" x14ac:dyDescent="0.25">
      <c r="A86" s="219" t="s">
        <v>144</v>
      </c>
      <c r="B86" s="20" t="s">
        <v>425</v>
      </c>
      <c r="C86" s="20" t="s">
        <v>17</v>
      </c>
      <c r="D86" s="219" t="s">
        <v>18</v>
      </c>
      <c r="E86" s="219" t="s">
        <v>423</v>
      </c>
      <c r="F86" s="219" t="s">
        <v>15</v>
      </c>
      <c r="G86" s="20" t="s">
        <v>15</v>
      </c>
      <c r="H86" s="48">
        <v>0</v>
      </c>
      <c r="I86" s="48">
        <v>0</v>
      </c>
      <c r="J86" s="48">
        <v>0</v>
      </c>
      <c r="K86" s="222"/>
      <c r="L86" s="222"/>
      <c r="M86" s="222"/>
      <c r="N86" s="222"/>
      <c r="O86" s="222"/>
      <c r="P86" s="204">
        <f t="shared" si="5"/>
        <v>0</v>
      </c>
      <c r="Q86" s="204">
        <f t="shared" si="4"/>
        <v>0</v>
      </c>
      <c r="R86" s="223" t="s">
        <v>426</v>
      </c>
    </row>
    <row r="87" spans="1:21" ht="78" hidden="1" customHeight="1" x14ac:dyDescent="0.25">
      <c r="A87" s="224"/>
      <c r="B87" s="20" t="s">
        <v>427</v>
      </c>
      <c r="C87" s="20" t="s">
        <v>17</v>
      </c>
      <c r="D87" s="219"/>
      <c r="E87" s="219"/>
      <c r="F87" s="219"/>
      <c r="G87" s="20" t="s">
        <v>15</v>
      </c>
      <c r="H87" s="204"/>
      <c r="I87" s="204"/>
      <c r="J87" s="48"/>
      <c r="K87" s="48"/>
      <c r="L87" s="48"/>
      <c r="M87" s="48"/>
      <c r="N87" s="48"/>
      <c r="O87" s="48"/>
      <c r="P87" s="204">
        <f t="shared" si="5"/>
        <v>0</v>
      </c>
      <c r="Q87" s="204">
        <f t="shared" si="4"/>
        <v>0</v>
      </c>
      <c r="R87" s="20" t="s">
        <v>428</v>
      </c>
      <c r="S87" s="225" t="s">
        <v>429</v>
      </c>
      <c r="T87" s="226" t="s">
        <v>430</v>
      </c>
      <c r="U87" s="227" t="s">
        <v>431</v>
      </c>
    </row>
    <row r="88" spans="1:21" ht="86.25" hidden="1" customHeight="1" x14ac:dyDescent="0.25">
      <c r="A88" s="224" t="s">
        <v>146</v>
      </c>
      <c r="B88" s="20" t="s">
        <v>432</v>
      </c>
      <c r="C88" s="20" t="s">
        <v>433</v>
      </c>
      <c r="D88" s="219" t="s">
        <v>18</v>
      </c>
      <c r="E88" s="219" t="s">
        <v>350</v>
      </c>
      <c r="F88" s="219" t="s">
        <v>434</v>
      </c>
      <c r="G88" s="20">
        <v>244</v>
      </c>
      <c r="H88" s="204"/>
      <c r="I88" s="204"/>
      <c r="J88" s="48"/>
      <c r="K88" s="48"/>
      <c r="L88" s="48"/>
      <c r="M88" s="48"/>
      <c r="N88" s="48"/>
      <c r="O88" s="48"/>
      <c r="P88" s="204">
        <f t="shared" si="5"/>
        <v>0</v>
      </c>
      <c r="Q88" s="204">
        <f t="shared" si="4"/>
        <v>0</v>
      </c>
      <c r="R88" s="20" t="s">
        <v>435</v>
      </c>
      <c r="S88" s="228"/>
      <c r="T88" s="226"/>
      <c r="U88" s="227"/>
    </row>
    <row r="89" spans="1:21" ht="70.5" hidden="1" customHeight="1" x14ac:dyDescent="0.25">
      <c r="A89" s="224" t="s">
        <v>148</v>
      </c>
      <c r="B89" s="20" t="s">
        <v>436</v>
      </c>
      <c r="C89" s="20" t="s">
        <v>433</v>
      </c>
      <c r="D89" s="219" t="s">
        <v>18</v>
      </c>
      <c r="E89" s="219" t="s">
        <v>350</v>
      </c>
      <c r="F89" s="219" t="s">
        <v>15</v>
      </c>
      <c r="G89" s="20" t="s">
        <v>15</v>
      </c>
      <c r="H89" s="204">
        <v>0</v>
      </c>
      <c r="I89" s="204">
        <v>0</v>
      </c>
      <c r="J89" s="204">
        <v>0</v>
      </c>
      <c r="K89" s="204"/>
      <c r="L89" s="204"/>
      <c r="M89" s="204"/>
      <c r="N89" s="204"/>
      <c r="O89" s="204"/>
      <c r="P89" s="204">
        <f t="shared" si="5"/>
        <v>0</v>
      </c>
      <c r="Q89" s="204">
        <f t="shared" si="4"/>
        <v>0</v>
      </c>
      <c r="R89" s="20" t="s">
        <v>437</v>
      </c>
      <c r="S89" s="228"/>
      <c r="T89" s="226"/>
      <c r="U89" s="227"/>
    </row>
    <row r="90" spans="1:21" ht="21" customHeight="1" x14ac:dyDescent="0.25">
      <c r="A90" s="448" t="s">
        <v>438</v>
      </c>
      <c r="B90" s="448"/>
      <c r="C90" s="229"/>
      <c r="D90" s="229"/>
      <c r="E90" s="229"/>
      <c r="F90" s="229"/>
      <c r="G90" s="229"/>
      <c r="H90" s="48">
        <f t="shared" ref="H90:P90" si="6">SUM(H44:H89)</f>
        <v>179920.50000000003</v>
      </c>
      <c r="I90" s="48">
        <f t="shared" si="6"/>
        <v>191066.30000000002</v>
      </c>
      <c r="J90" s="48">
        <f t="shared" si="6"/>
        <v>202246.1</v>
      </c>
      <c r="K90" s="48">
        <f t="shared" si="6"/>
        <v>210858.7</v>
      </c>
      <c r="L90" s="48">
        <f t="shared" si="6"/>
        <v>222793.49999999997</v>
      </c>
      <c r="M90" s="48">
        <f t="shared" si="6"/>
        <v>233577.89999999994</v>
      </c>
      <c r="N90" s="48">
        <f t="shared" si="6"/>
        <v>218021.99999999997</v>
      </c>
      <c r="O90" s="48">
        <f t="shared" si="6"/>
        <v>212422.5</v>
      </c>
      <c r="P90" s="48">
        <f t="shared" si="6"/>
        <v>212422.5</v>
      </c>
      <c r="Q90" s="204">
        <f>SUM(H90:P90)</f>
        <v>1883330</v>
      </c>
      <c r="R90" s="230"/>
    </row>
    <row r="91" spans="1:21" ht="27.75" customHeight="1" x14ac:dyDescent="0.25">
      <c r="A91" s="231" t="s">
        <v>340</v>
      </c>
      <c r="B91" s="231"/>
      <c r="C91" s="231"/>
      <c r="D91" s="231"/>
      <c r="E91" s="231"/>
      <c r="F91" s="231"/>
      <c r="G91" s="231"/>
      <c r="H91" s="232"/>
      <c r="I91" s="232"/>
      <c r="J91" s="232"/>
      <c r="K91" s="232"/>
      <c r="L91" s="232"/>
      <c r="M91" s="232"/>
      <c r="N91" s="232"/>
      <c r="O91" s="232"/>
      <c r="P91" s="232"/>
      <c r="Q91" s="232"/>
      <c r="R91" s="231"/>
    </row>
    <row r="92" spans="1:21" ht="35.1" customHeight="1" x14ac:dyDescent="0.25">
      <c r="A92" s="449" t="s">
        <v>439</v>
      </c>
      <c r="B92" s="450" t="s">
        <v>440</v>
      </c>
      <c r="C92" s="321" t="s">
        <v>17</v>
      </c>
      <c r="D92" s="219" t="s">
        <v>18</v>
      </c>
      <c r="E92" s="219" t="s">
        <v>412</v>
      </c>
      <c r="F92" s="233" t="s">
        <v>441</v>
      </c>
      <c r="G92" s="231">
        <v>611</v>
      </c>
      <c r="H92" s="48">
        <v>23037.9</v>
      </c>
      <c r="I92" s="48">
        <v>23911.599999999999</v>
      </c>
      <c r="J92" s="48">
        <v>22936.7</v>
      </c>
      <c r="K92" s="48">
        <v>22825.4</v>
      </c>
      <c r="L92" s="48">
        <v>23271.9</v>
      </c>
      <c r="M92" s="48">
        <v>24149.7</v>
      </c>
      <c r="N92" s="48">
        <v>25041.4</v>
      </c>
      <c r="O92" s="48">
        <v>25043.3</v>
      </c>
      <c r="P92" s="48">
        <v>25043.3</v>
      </c>
      <c r="Q92" s="204">
        <f>SUM(H92:P92)</f>
        <v>215261.19999999998</v>
      </c>
      <c r="R92" s="328" t="s">
        <v>442</v>
      </c>
    </row>
    <row r="93" spans="1:21" ht="35.1" customHeight="1" x14ac:dyDescent="0.25">
      <c r="A93" s="449"/>
      <c r="B93" s="450"/>
      <c r="C93" s="321"/>
      <c r="D93" s="219" t="s">
        <v>18</v>
      </c>
      <c r="E93" s="219" t="s">
        <v>412</v>
      </c>
      <c r="F93" s="233" t="s">
        <v>441</v>
      </c>
      <c r="G93" s="231">
        <v>612</v>
      </c>
      <c r="H93" s="48">
        <v>228.9</v>
      </c>
      <c r="I93" s="48">
        <v>1514.5</v>
      </c>
      <c r="J93" s="48">
        <f>13390.2-J104-J107</f>
        <v>13254.2</v>
      </c>
      <c r="K93" s="48">
        <v>6851.9</v>
      </c>
      <c r="L93" s="48">
        <v>120</v>
      </c>
      <c r="M93" s="48">
        <v>14.5</v>
      </c>
      <c r="N93" s="48">
        <v>0</v>
      </c>
      <c r="O93" s="48">
        <v>0</v>
      </c>
      <c r="P93" s="48">
        <f t="shared" ref="P93:P117" si="7">O93</f>
        <v>0</v>
      </c>
      <c r="Q93" s="204">
        <f t="shared" ref="Q93:Q112" si="8">SUM(H93:P93)</f>
        <v>21984</v>
      </c>
      <c r="R93" s="328"/>
    </row>
    <row r="94" spans="1:21" ht="35.1" customHeight="1" x14ac:dyDescent="0.25">
      <c r="A94" s="449"/>
      <c r="B94" s="450"/>
      <c r="C94" s="321"/>
      <c r="D94" s="219" t="s">
        <v>18</v>
      </c>
      <c r="E94" s="219" t="s">
        <v>412</v>
      </c>
      <c r="F94" s="233" t="s">
        <v>403</v>
      </c>
      <c r="G94" s="231">
        <v>611</v>
      </c>
      <c r="H94" s="48"/>
      <c r="I94" s="48"/>
      <c r="J94" s="48"/>
      <c r="K94" s="48">
        <v>2950.8</v>
      </c>
      <c r="L94" s="48">
        <v>3915.8</v>
      </c>
      <c r="M94" s="48">
        <v>6010.2</v>
      </c>
      <c r="N94" s="48">
        <v>6148.7</v>
      </c>
      <c r="O94" s="48">
        <v>6148.7</v>
      </c>
      <c r="P94" s="48">
        <f t="shared" si="7"/>
        <v>6148.7</v>
      </c>
      <c r="Q94" s="204">
        <f t="shared" si="8"/>
        <v>31322.9</v>
      </c>
      <c r="R94" s="328"/>
    </row>
    <row r="95" spans="1:21" ht="35.1" customHeight="1" x14ac:dyDescent="0.25">
      <c r="A95" s="449"/>
      <c r="B95" s="450"/>
      <c r="C95" s="321"/>
      <c r="D95" s="219" t="s">
        <v>18</v>
      </c>
      <c r="E95" s="219" t="s">
        <v>412</v>
      </c>
      <c r="F95" s="233" t="s">
        <v>443</v>
      </c>
      <c r="G95" s="231">
        <v>611</v>
      </c>
      <c r="H95" s="48"/>
      <c r="I95" s="48"/>
      <c r="J95" s="48"/>
      <c r="K95" s="48">
        <v>111.3</v>
      </c>
      <c r="L95" s="48">
        <v>106.9</v>
      </c>
      <c r="M95" s="48">
        <v>105.5</v>
      </c>
      <c r="N95" s="48">
        <v>0</v>
      </c>
      <c r="O95" s="48">
        <v>0</v>
      </c>
      <c r="P95" s="48">
        <v>0</v>
      </c>
      <c r="Q95" s="204">
        <f t="shared" si="8"/>
        <v>323.7</v>
      </c>
      <c r="R95" s="328"/>
    </row>
    <row r="96" spans="1:21" ht="35.1" customHeight="1" x14ac:dyDescent="0.25">
      <c r="A96" s="449"/>
      <c r="B96" s="450"/>
      <c r="C96" s="321"/>
      <c r="D96" s="219" t="s">
        <v>18</v>
      </c>
      <c r="E96" s="219" t="s">
        <v>412</v>
      </c>
      <c r="F96" s="233" t="s">
        <v>444</v>
      </c>
      <c r="G96" s="231">
        <v>611</v>
      </c>
      <c r="H96" s="48">
        <v>0</v>
      </c>
      <c r="I96" s="48">
        <v>0</v>
      </c>
      <c r="J96" s="48">
        <v>0</v>
      </c>
      <c r="K96" s="48">
        <v>547.79999999999995</v>
      </c>
      <c r="L96" s="48">
        <v>0</v>
      </c>
      <c r="M96" s="48">
        <v>0</v>
      </c>
      <c r="N96" s="48">
        <v>0</v>
      </c>
      <c r="O96" s="48">
        <v>0</v>
      </c>
      <c r="P96" s="48">
        <f t="shared" si="7"/>
        <v>0</v>
      </c>
      <c r="Q96" s="204">
        <f t="shared" si="8"/>
        <v>547.79999999999995</v>
      </c>
      <c r="R96" s="328"/>
    </row>
    <row r="97" spans="1:18" ht="35.1" customHeight="1" x14ac:dyDescent="0.25">
      <c r="A97" s="449"/>
      <c r="B97" s="210"/>
      <c r="C97" s="321"/>
      <c r="D97" s="219" t="s">
        <v>18</v>
      </c>
      <c r="E97" s="219" t="s">
        <v>412</v>
      </c>
      <c r="F97" s="233" t="s">
        <v>445</v>
      </c>
      <c r="G97" s="231">
        <v>611</v>
      </c>
      <c r="H97" s="48"/>
      <c r="I97" s="48"/>
      <c r="J97" s="48"/>
      <c r="K97" s="48"/>
      <c r="L97" s="48">
        <v>1204.5</v>
      </c>
      <c r="M97" s="48">
        <v>1690.6</v>
      </c>
      <c r="N97" s="47">
        <v>1068.0999999999999</v>
      </c>
      <c r="O97" s="48">
        <v>0</v>
      </c>
      <c r="P97" s="48">
        <f t="shared" si="7"/>
        <v>0</v>
      </c>
      <c r="Q97" s="204">
        <f t="shared" si="8"/>
        <v>3963.2</v>
      </c>
      <c r="R97" s="328"/>
    </row>
    <row r="98" spans="1:18" ht="59.45" customHeight="1" x14ac:dyDescent="0.25">
      <c r="A98" s="449"/>
      <c r="B98" s="210"/>
      <c r="C98" s="321"/>
      <c r="D98" s="219" t="s">
        <v>18</v>
      </c>
      <c r="E98" s="219" t="s">
        <v>412</v>
      </c>
      <c r="F98" s="207" t="s">
        <v>416</v>
      </c>
      <c r="G98" s="231">
        <v>611</v>
      </c>
      <c r="H98" s="48"/>
      <c r="I98" s="48"/>
      <c r="J98" s="48"/>
      <c r="K98" s="48"/>
      <c r="L98" s="48">
        <v>689.2</v>
      </c>
      <c r="M98" s="48">
        <v>97.3</v>
      </c>
      <c r="N98" s="47">
        <v>589.4</v>
      </c>
      <c r="O98" s="48">
        <v>0</v>
      </c>
      <c r="P98" s="48">
        <f t="shared" si="7"/>
        <v>0</v>
      </c>
      <c r="Q98" s="204">
        <f t="shared" si="8"/>
        <v>1375.9</v>
      </c>
      <c r="R98" s="328"/>
    </row>
    <row r="99" spans="1:18" ht="35.1" customHeight="1" x14ac:dyDescent="0.25">
      <c r="A99" s="449"/>
      <c r="B99" s="210"/>
      <c r="C99" s="321"/>
      <c r="D99" s="219" t="s">
        <v>18</v>
      </c>
      <c r="E99" s="219" t="s">
        <v>412</v>
      </c>
      <c r="F99" s="233" t="s">
        <v>446</v>
      </c>
      <c r="G99" s="231">
        <v>612</v>
      </c>
      <c r="H99" s="48"/>
      <c r="I99" s="48"/>
      <c r="J99" s="48"/>
      <c r="K99" s="48"/>
      <c r="L99" s="48">
        <v>1000</v>
      </c>
      <c r="M99" s="48"/>
      <c r="N99" s="47"/>
      <c r="O99" s="48"/>
      <c r="P99" s="48">
        <f t="shared" si="7"/>
        <v>0</v>
      </c>
      <c r="Q99" s="204">
        <f t="shared" si="8"/>
        <v>1000</v>
      </c>
      <c r="R99" s="328"/>
    </row>
    <row r="100" spans="1:18" ht="35.1" customHeight="1" x14ac:dyDescent="0.25">
      <c r="A100" s="449"/>
      <c r="B100" s="210"/>
      <c r="C100" s="321"/>
      <c r="D100" s="219" t="s">
        <v>18</v>
      </c>
      <c r="E100" s="219" t="s">
        <v>412</v>
      </c>
      <c r="F100" s="233" t="s">
        <v>447</v>
      </c>
      <c r="G100" s="231">
        <v>612</v>
      </c>
      <c r="H100" s="48"/>
      <c r="I100" s="48"/>
      <c r="J100" s="48"/>
      <c r="K100" s="48"/>
      <c r="L100" s="48">
        <v>50</v>
      </c>
      <c r="M100" s="48"/>
      <c r="N100" s="47"/>
      <c r="O100" s="48"/>
      <c r="P100" s="48">
        <f t="shared" si="7"/>
        <v>0</v>
      </c>
      <c r="Q100" s="204">
        <f t="shared" si="8"/>
        <v>50</v>
      </c>
      <c r="R100" s="328"/>
    </row>
    <row r="101" spans="1:18" ht="35.1" customHeight="1" x14ac:dyDescent="0.25">
      <c r="A101" s="449"/>
      <c r="B101" s="210"/>
      <c r="C101" s="321"/>
      <c r="D101" s="219" t="s">
        <v>18</v>
      </c>
      <c r="E101" s="219" t="s">
        <v>412</v>
      </c>
      <c r="F101" s="233" t="s">
        <v>417</v>
      </c>
      <c r="G101" s="231">
        <v>611</v>
      </c>
      <c r="H101" s="48"/>
      <c r="I101" s="48"/>
      <c r="J101" s="48"/>
      <c r="K101" s="48"/>
      <c r="L101" s="48"/>
      <c r="M101" s="48">
        <v>94.7</v>
      </c>
      <c r="N101" s="47"/>
      <c r="O101" s="48"/>
      <c r="P101" s="48"/>
      <c r="Q101" s="204">
        <f t="shared" si="8"/>
        <v>94.7</v>
      </c>
      <c r="R101" s="328"/>
    </row>
    <row r="102" spans="1:18" ht="35.1" customHeight="1" x14ac:dyDescent="0.25">
      <c r="A102" s="449"/>
      <c r="B102" s="210"/>
      <c r="C102" s="321"/>
      <c r="D102" s="219" t="s">
        <v>18</v>
      </c>
      <c r="E102" s="219" t="s">
        <v>412</v>
      </c>
      <c r="F102" s="233" t="s">
        <v>448</v>
      </c>
      <c r="G102" s="231">
        <v>611</v>
      </c>
      <c r="H102" s="48"/>
      <c r="I102" s="48"/>
      <c r="J102" s="48"/>
      <c r="K102" s="48"/>
      <c r="L102" s="48"/>
      <c r="M102" s="48">
        <v>75.8</v>
      </c>
      <c r="N102" s="47"/>
      <c r="O102" s="48"/>
      <c r="P102" s="48"/>
      <c r="Q102" s="204">
        <f t="shared" si="8"/>
        <v>75.8</v>
      </c>
      <c r="R102" s="328"/>
    </row>
    <row r="103" spans="1:18" ht="51.75" customHeight="1" x14ac:dyDescent="0.25">
      <c r="A103" s="449"/>
      <c r="B103" s="210" t="s">
        <v>449</v>
      </c>
      <c r="C103" s="321"/>
      <c r="D103" s="219" t="s">
        <v>18</v>
      </c>
      <c r="E103" s="219" t="s">
        <v>412</v>
      </c>
      <c r="F103" s="219" t="s">
        <v>15</v>
      </c>
      <c r="G103" s="20" t="s">
        <v>15</v>
      </c>
      <c r="H103" s="48">
        <f>959+71.4+16.6</f>
        <v>1047</v>
      </c>
      <c r="I103" s="48">
        <v>1619.2</v>
      </c>
      <c r="J103" s="48">
        <v>1279</v>
      </c>
      <c r="K103" s="48">
        <v>1279</v>
      </c>
      <c r="L103" s="48">
        <f>2009.3+22</f>
        <v>2031.3</v>
      </c>
      <c r="M103" s="48">
        <v>1418.7</v>
      </c>
      <c r="N103" s="47">
        <v>749.7</v>
      </c>
      <c r="O103" s="48">
        <v>1016.2</v>
      </c>
      <c r="P103" s="48">
        <v>1016.2</v>
      </c>
      <c r="Q103" s="204">
        <f t="shared" si="8"/>
        <v>11456.300000000003</v>
      </c>
      <c r="R103" s="328"/>
    </row>
    <row r="104" spans="1:18" ht="68.45" customHeight="1" x14ac:dyDescent="0.25">
      <c r="A104" s="444" t="s">
        <v>450</v>
      </c>
      <c r="B104" s="445" t="s">
        <v>451</v>
      </c>
      <c r="C104" s="446" t="s">
        <v>452</v>
      </c>
      <c r="D104" s="234" t="s">
        <v>18</v>
      </c>
      <c r="E104" s="234" t="s">
        <v>350</v>
      </c>
      <c r="F104" s="234" t="s">
        <v>441</v>
      </c>
      <c r="G104" s="235">
        <v>612</v>
      </c>
      <c r="H104" s="47"/>
      <c r="I104" s="47">
        <v>49.6</v>
      </c>
      <c r="J104" s="47">
        <v>63.5</v>
      </c>
      <c r="K104" s="236"/>
      <c r="L104" s="236"/>
      <c r="M104" s="236"/>
      <c r="N104" s="236"/>
      <c r="O104" s="236"/>
      <c r="P104" s="48">
        <f t="shared" si="7"/>
        <v>0</v>
      </c>
      <c r="Q104" s="204">
        <f t="shared" si="8"/>
        <v>113.1</v>
      </c>
      <c r="R104" s="445" t="s">
        <v>453</v>
      </c>
    </row>
    <row r="105" spans="1:18" ht="61.5" customHeight="1" x14ac:dyDescent="0.25">
      <c r="A105" s="444"/>
      <c r="B105" s="445"/>
      <c r="C105" s="446"/>
      <c r="D105" s="234" t="s">
        <v>18</v>
      </c>
      <c r="E105" s="234" t="s">
        <v>350</v>
      </c>
      <c r="F105" s="234" t="s">
        <v>441</v>
      </c>
      <c r="G105" s="235">
        <v>244</v>
      </c>
      <c r="H105" s="47">
        <v>59.6</v>
      </c>
      <c r="I105" s="47">
        <v>10</v>
      </c>
      <c r="J105" s="47">
        <v>10</v>
      </c>
      <c r="K105" s="236"/>
      <c r="L105" s="236"/>
      <c r="M105" s="236"/>
      <c r="N105" s="236"/>
      <c r="O105" s="236"/>
      <c r="P105" s="48">
        <f t="shared" si="7"/>
        <v>0</v>
      </c>
      <c r="Q105" s="204">
        <f t="shared" si="8"/>
        <v>79.599999999999994</v>
      </c>
      <c r="R105" s="445"/>
    </row>
    <row r="106" spans="1:18" ht="42.75" customHeight="1" x14ac:dyDescent="0.25">
      <c r="A106" s="447" t="s">
        <v>454</v>
      </c>
      <c r="B106" s="445" t="s">
        <v>455</v>
      </c>
      <c r="C106" s="446" t="s">
        <v>17</v>
      </c>
      <c r="D106" s="234" t="s">
        <v>18</v>
      </c>
      <c r="E106" s="234" t="s">
        <v>316</v>
      </c>
      <c r="F106" s="234" t="s">
        <v>456</v>
      </c>
      <c r="G106" s="235">
        <v>244</v>
      </c>
      <c r="H106" s="47">
        <v>31.4</v>
      </c>
      <c r="I106" s="47"/>
      <c r="J106" s="47"/>
      <c r="K106" s="48"/>
      <c r="L106" s="48"/>
      <c r="M106" s="48"/>
      <c r="N106" s="48"/>
      <c r="O106" s="48"/>
      <c r="P106" s="48">
        <f t="shared" si="7"/>
        <v>0</v>
      </c>
      <c r="Q106" s="204">
        <f t="shared" si="8"/>
        <v>31.4</v>
      </c>
      <c r="R106" s="445" t="s">
        <v>457</v>
      </c>
    </row>
    <row r="107" spans="1:18" ht="25.15" customHeight="1" x14ac:dyDescent="0.25">
      <c r="A107" s="447"/>
      <c r="B107" s="445"/>
      <c r="C107" s="446"/>
      <c r="D107" s="234" t="s">
        <v>18</v>
      </c>
      <c r="E107" s="234" t="s">
        <v>350</v>
      </c>
      <c r="F107" s="234" t="s">
        <v>441</v>
      </c>
      <c r="G107" s="235">
        <v>612</v>
      </c>
      <c r="H107" s="47">
        <v>16</v>
      </c>
      <c r="I107" s="47">
        <v>47.1</v>
      </c>
      <c r="J107" s="47">
        <v>72.5</v>
      </c>
      <c r="K107" s="236"/>
      <c r="L107" s="236"/>
      <c r="M107" s="236"/>
      <c r="N107" s="236"/>
      <c r="O107" s="236"/>
      <c r="P107" s="48">
        <f t="shared" si="7"/>
        <v>0</v>
      </c>
      <c r="Q107" s="204">
        <f t="shared" si="8"/>
        <v>135.6</v>
      </c>
      <c r="R107" s="445"/>
    </row>
    <row r="108" spans="1:18" ht="60.75" hidden="1" customHeight="1" x14ac:dyDescent="0.25">
      <c r="A108" s="442" t="s">
        <v>458</v>
      </c>
      <c r="B108" s="443" t="s">
        <v>459</v>
      </c>
      <c r="C108" s="235" t="s">
        <v>17</v>
      </c>
      <c r="D108" s="234">
        <v>975</v>
      </c>
      <c r="E108" s="234" t="s">
        <v>423</v>
      </c>
      <c r="F108" s="234" t="s">
        <v>15</v>
      </c>
      <c r="G108" s="237" t="s">
        <v>15</v>
      </c>
      <c r="H108" s="238">
        <v>0</v>
      </c>
      <c r="I108" s="238">
        <v>0</v>
      </c>
      <c r="J108" s="238">
        <v>0</v>
      </c>
      <c r="K108" s="48"/>
      <c r="L108" s="48"/>
      <c r="M108" s="48"/>
      <c r="N108" s="48"/>
      <c r="O108" s="48"/>
      <c r="P108" s="48">
        <f t="shared" si="7"/>
        <v>0</v>
      </c>
      <c r="Q108" s="204">
        <f t="shared" si="8"/>
        <v>0</v>
      </c>
      <c r="R108" s="443" t="s">
        <v>460</v>
      </c>
    </row>
    <row r="109" spans="1:18" ht="102.75" hidden="1" customHeight="1" x14ac:dyDescent="0.25">
      <c r="A109" s="442"/>
      <c r="B109" s="443"/>
      <c r="C109" s="235" t="s">
        <v>461</v>
      </c>
      <c r="D109" s="234">
        <v>964</v>
      </c>
      <c r="E109" s="234" t="s">
        <v>423</v>
      </c>
      <c r="F109" s="234" t="s">
        <v>15</v>
      </c>
      <c r="G109" s="239" t="s">
        <v>15</v>
      </c>
      <c r="H109" s="238">
        <v>0</v>
      </c>
      <c r="I109" s="238">
        <v>0</v>
      </c>
      <c r="J109" s="238">
        <v>0</v>
      </c>
      <c r="K109" s="48"/>
      <c r="L109" s="48"/>
      <c r="M109" s="48"/>
      <c r="N109" s="48"/>
      <c r="O109" s="48"/>
      <c r="P109" s="48">
        <f t="shared" si="7"/>
        <v>0</v>
      </c>
      <c r="Q109" s="204">
        <f t="shared" si="8"/>
        <v>0</v>
      </c>
      <c r="R109" s="443"/>
    </row>
    <row r="110" spans="1:18" ht="70.5" hidden="1" customHeight="1" x14ac:dyDescent="0.25">
      <c r="A110" s="442"/>
      <c r="B110" s="443"/>
      <c r="C110" s="235" t="s">
        <v>462</v>
      </c>
      <c r="D110" s="234">
        <v>956</v>
      </c>
      <c r="E110" s="234" t="s">
        <v>463</v>
      </c>
      <c r="F110" s="234" t="s">
        <v>15</v>
      </c>
      <c r="G110" s="239" t="s">
        <v>15</v>
      </c>
      <c r="H110" s="238">
        <v>0</v>
      </c>
      <c r="I110" s="238">
        <v>0</v>
      </c>
      <c r="J110" s="238">
        <v>0</v>
      </c>
      <c r="K110" s="48"/>
      <c r="L110" s="48"/>
      <c r="M110" s="48"/>
      <c r="N110" s="48"/>
      <c r="O110" s="48"/>
      <c r="P110" s="48">
        <f t="shared" si="7"/>
        <v>0</v>
      </c>
      <c r="Q110" s="204">
        <f t="shared" si="8"/>
        <v>0</v>
      </c>
      <c r="R110" s="443"/>
    </row>
    <row r="111" spans="1:18" ht="66" customHeight="1" x14ac:dyDescent="0.25">
      <c r="A111" s="240" t="s">
        <v>458</v>
      </c>
      <c r="B111" s="235" t="s">
        <v>464</v>
      </c>
      <c r="C111" s="235" t="s">
        <v>465</v>
      </c>
      <c r="D111" s="234" t="s">
        <v>18</v>
      </c>
      <c r="E111" s="234" t="s">
        <v>316</v>
      </c>
      <c r="F111" s="234" t="s">
        <v>456</v>
      </c>
      <c r="G111" s="241" t="s">
        <v>466</v>
      </c>
      <c r="H111" s="47">
        <v>114.4</v>
      </c>
      <c r="I111" s="47">
        <v>166.8</v>
      </c>
      <c r="J111" s="47">
        <v>0</v>
      </c>
      <c r="K111" s="236"/>
      <c r="L111" s="236"/>
      <c r="M111" s="236"/>
      <c r="N111" s="236"/>
      <c r="O111" s="236"/>
      <c r="P111" s="48">
        <f t="shared" si="7"/>
        <v>0</v>
      </c>
      <c r="Q111" s="204">
        <f t="shared" si="8"/>
        <v>281.20000000000005</v>
      </c>
      <c r="R111" s="235" t="s">
        <v>467</v>
      </c>
    </row>
    <row r="112" spans="1:18" ht="50.45" customHeight="1" x14ac:dyDescent="0.25">
      <c r="A112" s="240" t="s">
        <v>468</v>
      </c>
      <c r="B112" s="235" t="s">
        <v>469</v>
      </c>
      <c r="C112" s="235" t="s">
        <v>17</v>
      </c>
      <c r="D112" s="234" t="s">
        <v>18</v>
      </c>
      <c r="E112" s="234" t="s">
        <v>350</v>
      </c>
      <c r="F112" s="234" t="s">
        <v>470</v>
      </c>
      <c r="G112" s="242">
        <v>612</v>
      </c>
      <c r="H112" s="47">
        <v>5</v>
      </c>
      <c r="I112" s="47"/>
      <c r="J112" s="48"/>
      <c r="K112" s="48"/>
      <c r="L112" s="47"/>
      <c r="M112" s="48"/>
      <c r="N112" s="48"/>
      <c r="O112" s="47"/>
      <c r="P112" s="48">
        <f t="shared" si="7"/>
        <v>0</v>
      </c>
      <c r="Q112" s="204">
        <f t="shared" si="8"/>
        <v>5</v>
      </c>
      <c r="R112" s="243"/>
    </row>
    <row r="113" spans="1:18" ht="35.1" customHeight="1" x14ac:dyDescent="0.3">
      <c r="A113" s="440" t="s">
        <v>471</v>
      </c>
      <c r="B113" s="440"/>
      <c r="C113" s="244"/>
      <c r="D113" s="244"/>
      <c r="E113" s="244"/>
      <c r="F113" s="244"/>
      <c r="G113" s="244"/>
      <c r="H113" s="245">
        <f t="shared" ref="H113:M113" si="9">SUM(H92:H112)</f>
        <v>24540.200000000004</v>
      </c>
      <c r="I113" s="245">
        <f t="shared" si="9"/>
        <v>27318.799999999996</v>
      </c>
      <c r="J113" s="246">
        <f t="shared" si="9"/>
        <v>37615.9</v>
      </c>
      <c r="K113" s="246">
        <f t="shared" si="9"/>
        <v>34566.200000000004</v>
      </c>
      <c r="L113" s="246">
        <f t="shared" si="9"/>
        <v>32389.600000000002</v>
      </c>
      <c r="M113" s="246">
        <f t="shared" si="9"/>
        <v>33657</v>
      </c>
      <c r="N113" s="246">
        <f>SUM(N92:N112)</f>
        <v>33597.299999999996</v>
      </c>
      <c r="O113" s="246">
        <f>SUM(O92:O112)</f>
        <v>32208.2</v>
      </c>
      <c r="P113" s="246">
        <f>SUM(P92:P112)</f>
        <v>32208.2</v>
      </c>
      <c r="Q113" s="204">
        <f>SUM(H113:P113)</f>
        <v>288101.40000000002</v>
      </c>
      <c r="R113" s="247"/>
    </row>
    <row r="114" spans="1:18" s="250" customFormat="1" ht="35.1" customHeight="1" x14ac:dyDescent="0.3">
      <c r="A114" s="440" t="s">
        <v>472</v>
      </c>
      <c r="B114" s="440"/>
      <c r="C114" s="248"/>
      <c r="D114" s="248"/>
      <c r="E114" s="248"/>
      <c r="F114" s="248"/>
      <c r="G114" s="248"/>
      <c r="H114" s="246">
        <f t="shared" ref="H114:P114" si="10">H113+H90+H42</f>
        <v>214621.90000000005</v>
      </c>
      <c r="I114" s="246">
        <f t="shared" si="10"/>
        <v>231479.1</v>
      </c>
      <c r="J114" s="246">
        <f t="shared" si="10"/>
        <v>252889.60000000001</v>
      </c>
      <c r="K114" s="246">
        <f t="shared" si="10"/>
        <v>262736.60000000003</v>
      </c>
      <c r="L114" s="246">
        <f t="shared" si="10"/>
        <v>275850</v>
      </c>
      <c r="M114" s="246">
        <f t="shared" si="10"/>
        <v>294091.1999999999</v>
      </c>
      <c r="N114" s="246">
        <f t="shared" si="10"/>
        <v>270153.09999999998</v>
      </c>
      <c r="O114" s="246">
        <f t="shared" si="10"/>
        <v>261809.40000000002</v>
      </c>
      <c r="P114" s="246">
        <f t="shared" si="10"/>
        <v>260056.30000000002</v>
      </c>
      <c r="Q114" s="204">
        <f>SUM(H114:P114)</f>
        <v>2323687.1999999997</v>
      </c>
      <c r="R114" s="249"/>
    </row>
    <row r="115" spans="1:18" s="250" customFormat="1" ht="35.1" customHeight="1" x14ac:dyDescent="0.3">
      <c r="A115" s="440" t="s">
        <v>321</v>
      </c>
      <c r="B115" s="440"/>
      <c r="C115" s="248"/>
      <c r="D115" s="248"/>
      <c r="E115" s="248"/>
      <c r="F115" s="248"/>
      <c r="G115" s="248"/>
      <c r="H115" s="246">
        <f>H7+H11+H12+H20+H21+H24+H26+H61+H62+H63+H65+H66+H68+H70+H71+H72+H73+H75+H81+H82</f>
        <v>109406.90000000001</v>
      </c>
      <c r="I115" s="246">
        <f>I7+I11+I12+I20+I21+I24+I26+I61+I62+I63+I65+I66+I68+I70+I71+I72+I73+I75+I81+I82</f>
        <v>113565.79999999999</v>
      </c>
      <c r="J115" s="246">
        <f>J7+J11+J12+J20+J21+J22+J23+J24+J26+J61+J62+J63+J65+J66+J68+J70+J71+J72+J73+J75+J81+J82</f>
        <v>149314.1</v>
      </c>
      <c r="K115" s="246">
        <f>K7+K11+K12+K20+K21+K24+K26+K61+K62+K63+K65+K66+K68+K70+K71+K72+K73+K74+K75+K81+K82+K69</f>
        <v>163921.20000000001</v>
      </c>
      <c r="L115" s="246">
        <f>L7+L11+L12+L20+L21+L24+L26+L61+L62+L63+L65+L66+L68+L70+L71+L72+L73+L74+L75+L81+L82+L98+L97+L80+L77+L76+L99+L17</f>
        <v>178896.09999999998</v>
      </c>
      <c r="M115" s="246">
        <f>M7+M11+M12+M20+M21+M24+M26+M61+M62+M63+M65+M66+M68+M70+M71+M72+M73+M74+M75+M81+M82+M64+M67+M97+M15+M17+M102+M98+M76+M77+M78+M79+M101</f>
        <v>189252.89999999994</v>
      </c>
      <c r="N115" s="246">
        <f>N7+N11+N12+N20+N21+N24+N26+N61+N62+N63+N65+N66+N68+N70+N71+N72+N73+N74+N75+N81+N82+N76+N77+N33+N34+N64+N67+N97+N98+N37+N40</f>
        <v>189812.49999999997</v>
      </c>
      <c r="O115" s="246">
        <f>O7+O11+O12+O20+O21+O24+O26+O61+O62+O63+O65+O66+O68+O70+O71+O72+O73+O74+O75+O81+O82+O76+O77+O33+O34+O64+O67+O97+O98+O29+O30</f>
        <v>185691.40000000002</v>
      </c>
      <c r="P115" s="246">
        <f>P7+P11+P12+P20+P21+P24+P26+P61+P62+P63+P65+P66+P68+P70+P71+P72+P73+P74+P75+P81+P82+P76+P77+P33+P34+P64+P67+P97+P98+P29+P30</f>
        <v>183952.1</v>
      </c>
      <c r="Q115" s="204">
        <f>SUM(H115:P115)</f>
        <v>1463813</v>
      </c>
      <c r="R115" s="249"/>
    </row>
    <row r="116" spans="1:18" s="250" customFormat="1" ht="35.1" customHeight="1" x14ac:dyDescent="0.3">
      <c r="A116" s="440" t="s">
        <v>322</v>
      </c>
      <c r="B116" s="440"/>
      <c r="C116" s="248"/>
      <c r="D116" s="248"/>
      <c r="E116" s="248"/>
      <c r="F116" s="248"/>
      <c r="G116" s="248"/>
      <c r="H116" s="246">
        <f>H8+H9+H13+H14+H25+H27+H28+H44+H45+H46+H47+H48+H49+H50+H51+H52+H53+H54+H55+H56+H57+H58+H59+H60+H88+H92+H93+H94+H95+H96+H111+H112+H105+H106+H107+H104</f>
        <v>103390.39999999999</v>
      </c>
      <c r="I116" s="246">
        <f>I8+I9+I13+I14+I25+I27+I28+I44+I45+I46+I47+I48+I49+I50+I51+I52+I53+I54+I55+I56+I57+I58+I59+I60+I88+I92+I93+I94+I95+I96+I111+I112+I105+I106+I107+I104</f>
        <v>115762.00000000001</v>
      </c>
      <c r="J116" s="246">
        <f>J8+J9+J13+J14+J25+J27+J28+J44+J45+J46+J47+J48+J49+J50+J51+J52+J53+J54+J55+J56+J57+J58+J59+J60+J88+J92+J93+J94+J95+J96+J111+J112+J105+J106+J107+J104</f>
        <v>101282.7</v>
      </c>
      <c r="K116" s="246">
        <f>K8+K9+K13+K14+K25+K27+K28+K44+K45+K46+K47+K48+K49+K50+K51+K52+K53+K54+K55+K56+K57+K58+K59+K60+K88+K92+K93+K94+K95+K96+K111+K112+K105+K106+K107+K104+K86</f>
        <v>96522.60000000002</v>
      </c>
      <c r="L116" s="246">
        <f>L8+L9+L13+L14+L25+L27+L28+L44+L45+L46+L47+L48+L49+L50+L51+L52+L53+L54+L55+L56+L57+L58+L59+L60+L88+L92+L93+L94+L95+L96+L111+L112+L105+L106+L107+L104+L86+L18+L100+L10</f>
        <v>93843.599999999991</v>
      </c>
      <c r="M116" s="246">
        <f>M8+M9+M13+M14+M25+M27+M28+M44+M45+M46+M47+M48+M49+M50+M51+M52+M53+M54+M55+M56+M57+M58+M59+M60+M88+M92+M93+M94+M95+M96+M111+M112+M105+M106+M107+M104+M86+M16+M18+M19</f>
        <v>99156.3</v>
      </c>
      <c r="N116" s="246">
        <f>N8+N9+N13+N14+N25+N27+N28+N44+N45+N46+N47+N48+N49+N50+N51+N52+N53+N54+N55+N56+N57+N58+N59+N60+N88+N92+N93+N94+N95+N96+N111+N112+N105+N106+N107+N104+N86+N35+N36+N38+N39+N41</f>
        <v>73190.099999999991</v>
      </c>
      <c r="O116" s="246">
        <f>O8+O9+O13+O14+O25+O27+O28+O44+O45+O46+O47+O48+O49+O50+O51+O52+O53+O54+O55+O56+O57+O58+O59+O60+O88+O92+O93+O94+O95+O96+O111+O112+O105+O106+O107+O104+O86+O35+O36+O31+O32</f>
        <v>72679</v>
      </c>
      <c r="P116" s="246">
        <f>P8+P9+P13+P14+P25+P27+P28+P44+P45+P46+P47+P48+P49+P50+P51+P52+P53+P54+P55+P56+P57+P58+P59+P60+P88+P92+P93+P94+P95+P96+P111+P112+P105+P106+P107+P104+P86+P35+P36+P31+P32</f>
        <v>72665.2</v>
      </c>
      <c r="Q116" s="204">
        <f>SUM(H116:P116)</f>
        <v>828491.9</v>
      </c>
      <c r="R116" s="249"/>
    </row>
    <row r="117" spans="1:18" s="250" customFormat="1" ht="25.15" customHeight="1" x14ac:dyDescent="0.3">
      <c r="A117" s="440" t="s">
        <v>323</v>
      </c>
      <c r="B117" s="440"/>
      <c r="C117" s="251"/>
      <c r="D117" s="248"/>
      <c r="E117" s="248"/>
      <c r="F117" s="248"/>
      <c r="G117" s="248"/>
      <c r="H117" s="245">
        <f t="shared" ref="H117:M117" si="11">H83+H103</f>
        <v>1824.6</v>
      </c>
      <c r="I117" s="245">
        <f t="shared" si="11"/>
        <v>2151.3000000000002</v>
      </c>
      <c r="J117" s="246">
        <f t="shared" si="11"/>
        <v>2292.8000000000002</v>
      </c>
      <c r="K117" s="246">
        <f>K83+K103</f>
        <v>2292.8000000000002</v>
      </c>
      <c r="L117" s="246">
        <f>L83+L103</f>
        <v>3110.3</v>
      </c>
      <c r="M117" s="246">
        <f t="shared" si="11"/>
        <v>5682</v>
      </c>
      <c r="N117" s="246">
        <f>N83+N103</f>
        <v>7150.5</v>
      </c>
      <c r="O117" s="246">
        <f>O83+O103</f>
        <v>3439</v>
      </c>
      <c r="P117" s="48">
        <f t="shared" si="7"/>
        <v>3439</v>
      </c>
      <c r="Q117" s="204">
        <f>SUM(H117:P117)</f>
        <v>31382.3</v>
      </c>
      <c r="R117" s="249"/>
    </row>
    <row r="118" spans="1:18" ht="26.45" customHeight="1" x14ac:dyDescent="0.3">
      <c r="A118" s="441" t="s">
        <v>473</v>
      </c>
      <c r="B118" s="441"/>
      <c r="C118" s="441"/>
      <c r="D118" s="252"/>
      <c r="E118" s="252"/>
      <c r="F118" s="252"/>
      <c r="G118" s="252"/>
      <c r="H118" s="253"/>
      <c r="I118" s="253"/>
      <c r="J118" s="253"/>
      <c r="K118" s="253"/>
      <c r="L118" s="253"/>
      <c r="M118" s="253"/>
      <c r="N118" s="253"/>
      <c r="O118" s="253"/>
      <c r="P118" s="253"/>
      <c r="Q118" s="253"/>
      <c r="R118" s="254" t="s">
        <v>34</v>
      </c>
    </row>
    <row r="119" spans="1:18" ht="59.25" customHeight="1" x14ac:dyDescent="0.25">
      <c r="A119" s="185"/>
      <c r="B119" s="255"/>
      <c r="C119" s="187"/>
      <c r="D119" s="187"/>
      <c r="E119" s="187"/>
      <c r="F119" s="187"/>
      <c r="G119" s="187"/>
      <c r="H119" s="187"/>
    </row>
    <row r="120" spans="1:18" s="98" customFormat="1" ht="24.75" customHeight="1" x14ac:dyDescent="0.25">
      <c r="A120" s="185"/>
      <c r="B120" s="255"/>
      <c r="C120" s="187"/>
      <c r="D120" s="187"/>
      <c r="E120" s="187"/>
      <c r="F120" s="187"/>
      <c r="G120" s="187"/>
      <c r="H120" s="187"/>
      <c r="I120" s="34"/>
      <c r="J120" s="34"/>
      <c r="K120" s="34"/>
      <c r="L120" s="34"/>
      <c r="M120" s="34"/>
      <c r="N120" s="34"/>
      <c r="O120" s="34"/>
      <c r="P120" s="34"/>
      <c r="Q120" s="34"/>
      <c r="R120" s="34"/>
    </row>
    <row r="121" spans="1:18" ht="20.25" customHeight="1" x14ac:dyDescent="0.25">
      <c r="A121" s="185"/>
      <c r="B121" s="255"/>
      <c r="C121" s="187"/>
      <c r="D121" s="187"/>
      <c r="E121" s="187"/>
      <c r="F121" s="187"/>
      <c r="G121" s="187"/>
      <c r="H121" s="187"/>
    </row>
    <row r="122" spans="1:18" s="180" customFormat="1" x14ac:dyDescent="0.25">
      <c r="A122" s="185"/>
      <c r="B122" s="255"/>
      <c r="C122" s="187"/>
      <c r="D122" s="187"/>
      <c r="E122" s="187"/>
      <c r="F122" s="187"/>
      <c r="G122" s="187"/>
      <c r="H122" s="187"/>
      <c r="I122" s="34"/>
      <c r="J122" s="34"/>
      <c r="K122" s="34"/>
      <c r="L122" s="34"/>
      <c r="M122" s="34"/>
      <c r="N122" s="34"/>
      <c r="O122" s="34"/>
      <c r="P122" s="34"/>
      <c r="Q122" s="34"/>
      <c r="R122" s="34"/>
    </row>
    <row r="123" spans="1:18" s="133" customFormat="1" x14ac:dyDescent="0.25">
      <c r="A123" s="185"/>
      <c r="B123" s="255"/>
      <c r="C123" s="187"/>
      <c r="D123" s="187"/>
      <c r="E123" s="187"/>
      <c r="F123" s="187"/>
      <c r="G123" s="187"/>
      <c r="H123" s="187"/>
      <c r="I123" s="34"/>
      <c r="J123" s="34"/>
      <c r="K123" s="34"/>
      <c r="L123" s="34"/>
      <c r="M123" s="34"/>
      <c r="N123" s="34"/>
      <c r="O123" s="34"/>
      <c r="P123" s="34"/>
      <c r="Q123" s="34"/>
      <c r="R123" s="34"/>
    </row>
    <row r="124" spans="1:18" x14ac:dyDescent="0.25">
      <c r="A124" s="185"/>
      <c r="B124" s="255"/>
      <c r="C124" s="187"/>
      <c r="D124" s="187"/>
      <c r="E124" s="187"/>
      <c r="F124" s="187"/>
      <c r="G124" s="187"/>
      <c r="H124" s="187"/>
    </row>
    <row r="125" spans="1:18" x14ac:dyDescent="0.25">
      <c r="A125" s="185"/>
      <c r="B125" s="255"/>
      <c r="C125" s="187"/>
      <c r="D125" s="187"/>
      <c r="E125" s="187"/>
      <c r="F125" s="187"/>
      <c r="G125" s="187"/>
      <c r="H125" s="187"/>
    </row>
    <row r="126" spans="1:18" x14ac:dyDescent="0.25">
      <c r="A126" s="185"/>
      <c r="B126" s="255"/>
      <c r="C126" s="187"/>
      <c r="D126" s="187"/>
      <c r="E126" s="187"/>
      <c r="F126" s="187"/>
      <c r="G126" s="187"/>
      <c r="H126" s="187"/>
    </row>
    <row r="127" spans="1:18" x14ac:dyDescent="0.25">
      <c r="A127" s="185"/>
      <c r="B127" s="255"/>
      <c r="C127" s="187"/>
      <c r="D127" s="187"/>
      <c r="E127" s="187"/>
      <c r="F127" s="187"/>
      <c r="G127" s="187"/>
      <c r="H127" s="187"/>
    </row>
    <row r="128" spans="1:18" x14ac:dyDescent="0.25">
      <c r="A128" s="185"/>
      <c r="B128" s="255"/>
      <c r="C128" s="187"/>
      <c r="D128" s="187"/>
      <c r="E128" s="187"/>
      <c r="F128" s="187"/>
      <c r="G128" s="187"/>
      <c r="H128" s="187"/>
    </row>
    <row r="129" spans="1:8" x14ac:dyDescent="0.25">
      <c r="A129" s="185"/>
      <c r="B129" s="255"/>
      <c r="C129" s="187"/>
      <c r="D129" s="187"/>
      <c r="E129" s="187"/>
      <c r="F129" s="187"/>
      <c r="G129" s="187"/>
      <c r="H129" s="187"/>
    </row>
    <row r="130" spans="1:8" x14ac:dyDescent="0.25">
      <c r="A130" s="185"/>
      <c r="B130" s="255"/>
      <c r="C130" s="187"/>
      <c r="D130" s="187"/>
      <c r="E130" s="187"/>
      <c r="F130" s="187"/>
      <c r="G130" s="187"/>
      <c r="H130" s="187"/>
    </row>
    <row r="131" spans="1:8" x14ac:dyDescent="0.25">
      <c r="A131" s="185"/>
      <c r="B131" s="255"/>
      <c r="C131" s="187"/>
      <c r="D131" s="187"/>
      <c r="E131" s="187"/>
      <c r="F131" s="187"/>
      <c r="G131" s="187"/>
      <c r="H131" s="187"/>
    </row>
    <row r="132" spans="1:8" x14ac:dyDescent="0.25">
      <c r="A132" s="185"/>
      <c r="B132" s="255"/>
      <c r="C132" s="187"/>
      <c r="D132" s="187"/>
      <c r="E132" s="187"/>
      <c r="F132" s="187"/>
      <c r="G132" s="187"/>
      <c r="H132" s="187"/>
    </row>
    <row r="133" spans="1:8" x14ac:dyDescent="0.25">
      <c r="A133" s="185"/>
      <c r="B133" s="255"/>
      <c r="C133" s="187"/>
      <c r="D133" s="187"/>
      <c r="E133" s="187"/>
      <c r="F133" s="187"/>
      <c r="G133" s="187"/>
      <c r="H133" s="187"/>
    </row>
    <row r="134" spans="1:8" x14ac:dyDescent="0.25">
      <c r="A134" s="185"/>
      <c r="B134" s="255"/>
      <c r="C134" s="187"/>
      <c r="D134" s="187"/>
      <c r="E134" s="187"/>
      <c r="F134" s="187"/>
      <c r="G134" s="187"/>
      <c r="H134" s="187"/>
    </row>
    <row r="135" spans="1:8" x14ac:dyDescent="0.25">
      <c r="A135" s="185"/>
      <c r="B135" s="255"/>
      <c r="C135" s="187"/>
      <c r="D135" s="187"/>
      <c r="E135" s="187"/>
      <c r="F135" s="187"/>
      <c r="G135" s="187"/>
      <c r="H135" s="187"/>
    </row>
    <row r="136" spans="1:8" x14ac:dyDescent="0.25">
      <c r="A136" s="185"/>
      <c r="B136" s="255"/>
      <c r="C136" s="187"/>
      <c r="D136" s="187"/>
      <c r="E136" s="187"/>
      <c r="F136" s="187"/>
      <c r="G136" s="187"/>
      <c r="H136" s="187"/>
    </row>
    <row r="137" spans="1:8" x14ac:dyDescent="0.25">
      <c r="A137" s="185"/>
      <c r="B137" s="255"/>
      <c r="C137" s="187"/>
      <c r="D137" s="187"/>
      <c r="E137" s="187"/>
      <c r="F137" s="187"/>
      <c r="G137" s="187"/>
      <c r="H137" s="187"/>
    </row>
    <row r="138" spans="1:8" x14ac:dyDescent="0.25">
      <c r="A138" s="185"/>
      <c r="B138" s="255"/>
      <c r="C138" s="187"/>
      <c r="D138" s="187"/>
      <c r="E138" s="187"/>
      <c r="F138" s="187"/>
      <c r="G138" s="187"/>
      <c r="H138" s="187"/>
    </row>
    <row r="139" spans="1:8" x14ac:dyDescent="0.25">
      <c r="A139" s="185"/>
      <c r="B139" s="255"/>
      <c r="C139" s="187"/>
      <c r="D139" s="187"/>
      <c r="E139" s="187"/>
      <c r="F139" s="187"/>
      <c r="G139" s="187"/>
      <c r="H139" s="187"/>
    </row>
    <row r="140" spans="1:8" x14ac:dyDescent="0.25">
      <c r="A140" s="185"/>
      <c r="B140" s="255"/>
      <c r="C140" s="187"/>
      <c r="D140" s="187"/>
      <c r="E140" s="187"/>
      <c r="F140" s="187"/>
      <c r="G140" s="187"/>
      <c r="H140" s="187"/>
    </row>
    <row r="141" spans="1:8" x14ac:dyDescent="0.25">
      <c r="A141" s="185"/>
      <c r="B141" s="255"/>
      <c r="C141" s="187"/>
      <c r="D141" s="187"/>
      <c r="E141" s="187"/>
      <c r="F141" s="187"/>
      <c r="G141" s="187"/>
      <c r="H141" s="187"/>
    </row>
    <row r="142" spans="1:8" x14ac:dyDescent="0.25">
      <c r="A142" s="185"/>
      <c r="B142" s="255"/>
      <c r="C142" s="187"/>
      <c r="D142" s="187"/>
      <c r="E142" s="187"/>
      <c r="F142" s="187"/>
      <c r="G142" s="187"/>
      <c r="H142" s="187"/>
    </row>
    <row r="143" spans="1:8" x14ac:dyDescent="0.25">
      <c r="A143" s="185"/>
      <c r="B143" s="255"/>
      <c r="C143" s="187"/>
      <c r="D143" s="187"/>
      <c r="E143" s="187"/>
      <c r="F143" s="187"/>
      <c r="G143" s="187"/>
      <c r="H143" s="187"/>
    </row>
    <row r="144" spans="1:8" x14ac:dyDescent="0.25">
      <c r="A144" s="185"/>
      <c r="B144" s="255"/>
      <c r="C144" s="187"/>
      <c r="D144" s="187"/>
      <c r="E144" s="187"/>
      <c r="F144" s="187"/>
      <c r="G144" s="187"/>
      <c r="H144" s="187"/>
    </row>
    <row r="145" spans="1:8" x14ac:dyDescent="0.25">
      <c r="A145" s="185"/>
      <c r="B145" s="255"/>
      <c r="C145" s="187"/>
      <c r="D145" s="187"/>
      <c r="E145" s="187"/>
      <c r="F145" s="187"/>
      <c r="G145" s="187"/>
      <c r="H145" s="187"/>
    </row>
    <row r="146" spans="1:8" x14ac:dyDescent="0.25">
      <c r="A146" s="185"/>
      <c r="B146" s="255"/>
      <c r="C146" s="187"/>
      <c r="D146" s="187"/>
      <c r="E146" s="187"/>
      <c r="F146" s="187"/>
      <c r="G146" s="187"/>
      <c r="H146" s="187"/>
    </row>
    <row r="147" spans="1:8" x14ac:dyDescent="0.25">
      <c r="A147" s="185"/>
      <c r="B147" s="255"/>
      <c r="C147" s="187"/>
      <c r="D147" s="187"/>
      <c r="E147" s="187"/>
      <c r="F147" s="187"/>
      <c r="G147" s="187"/>
      <c r="H147" s="187"/>
    </row>
    <row r="148" spans="1:8" x14ac:dyDescent="0.25">
      <c r="A148" s="185"/>
      <c r="B148" s="255"/>
      <c r="C148" s="187"/>
      <c r="D148" s="187"/>
      <c r="E148" s="187"/>
      <c r="F148" s="187"/>
      <c r="G148" s="187"/>
      <c r="H148" s="187"/>
    </row>
    <row r="149" spans="1:8" x14ac:dyDescent="0.25">
      <c r="A149" s="185"/>
      <c r="B149" s="255"/>
      <c r="C149" s="187"/>
      <c r="D149" s="187"/>
      <c r="E149" s="187"/>
      <c r="F149" s="187"/>
      <c r="G149" s="187"/>
      <c r="H149" s="187"/>
    </row>
    <row r="150" spans="1:8" x14ac:dyDescent="0.25">
      <c r="A150" s="185"/>
      <c r="B150" s="255"/>
      <c r="C150" s="187"/>
      <c r="D150" s="187"/>
      <c r="E150" s="187"/>
      <c r="F150" s="187"/>
      <c r="G150" s="187"/>
      <c r="H150" s="187"/>
    </row>
    <row r="151" spans="1:8" x14ac:dyDescent="0.25">
      <c r="A151" s="185"/>
      <c r="B151" s="255"/>
      <c r="C151" s="187"/>
      <c r="D151" s="187"/>
      <c r="E151" s="187"/>
      <c r="F151" s="187"/>
      <c r="G151" s="187"/>
      <c r="H151" s="187"/>
    </row>
    <row r="152" spans="1:8" x14ac:dyDescent="0.25">
      <c r="A152" s="185"/>
      <c r="B152" s="255"/>
      <c r="C152" s="187"/>
      <c r="D152" s="187"/>
      <c r="E152" s="187"/>
      <c r="F152" s="187"/>
      <c r="G152" s="187"/>
      <c r="H152" s="187"/>
    </row>
    <row r="153" spans="1:8" x14ac:dyDescent="0.25">
      <c r="A153" s="185"/>
      <c r="B153" s="255"/>
      <c r="C153" s="187"/>
      <c r="D153" s="187"/>
      <c r="E153" s="187"/>
      <c r="F153" s="187"/>
      <c r="G153" s="187"/>
      <c r="H153" s="187"/>
    </row>
    <row r="154" spans="1:8" x14ac:dyDescent="0.25">
      <c r="A154" s="185"/>
      <c r="B154" s="255"/>
      <c r="C154" s="187"/>
      <c r="D154" s="187"/>
      <c r="E154" s="187"/>
      <c r="F154" s="187"/>
      <c r="G154" s="187"/>
      <c r="H154" s="187"/>
    </row>
    <row r="155" spans="1:8" x14ac:dyDescent="0.25">
      <c r="A155" s="185"/>
      <c r="B155" s="255"/>
      <c r="C155" s="187"/>
      <c r="D155" s="187"/>
      <c r="E155" s="187"/>
      <c r="F155" s="187"/>
      <c r="G155" s="187"/>
      <c r="H155" s="187"/>
    </row>
  </sheetData>
  <mergeCells count="71">
    <mergeCell ref="I1:J1"/>
    <mergeCell ref="O1:R1"/>
    <mergeCell ref="A2:Q2"/>
    <mergeCell ref="A3:A4"/>
    <mergeCell ref="B3:B4"/>
    <mergeCell ref="C3:C4"/>
    <mergeCell ref="D3:G3"/>
    <mergeCell ref="H3:Q3"/>
    <mergeCell ref="R3:R4"/>
    <mergeCell ref="R26:R28"/>
    <mergeCell ref="A27:A28"/>
    <mergeCell ref="B27:B28"/>
    <mergeCell ref="C27:C28"/>
    <mergeCell ref="A5:R5"/>
    <mergeCell ref="A6:R6"/>
    <mergeCell ref="A8:A14"/>
    <mergeCell ref="B8:B19"/>
    <mergeCell ref="C8:C19"/>
    <mergeCell ref="R8:R19"/>
    <mergeCell ref="A20:A23"/>
    <mergeCell ref="B20:B23"/>
    <mergeCell ref="C20:C23"/>
    <mergeCell ref="R20:R23"/>
    <mergeCell ref="R24:R25"/>
    <mergeCell ref="A29:A30"/>
    <mergeCell ref="B29:B30"/>
    <mergeCell ref="C29:C30"/>
    <mergeCell ref="R29:R30"/>
    <mergeCell ref="A31:A32"/>
    <mergeCell ref="B31:B32"/>
    <mergeCell ref="C31:C32"/>
    <mergeCell ref="A33:A34"/>
    <mergeCell ref="B33:B34"/>
    <mergeCell ref="C33:C34"/>
    <mergeCell ref="R33:R34"/>
    <mergeCell ref="A35:A36"/>
    <mergeCell ref="B35:B36"/>
    <mergeCell ref="C35:C36"/>
    <mergeCell ref="R92:R103"/>
    <mergeCell ref="A37:A38"/>
    <mergeCell ref="C37:C38"/>
    <mergeCell ref="A42:B42"/>
    <mergeCell ref="A43:R43"/>
    <mergeCell ref="A44:A60"/>
    <mergeCell ref="B44:B60"/>
    <mergeCell ref="C44:C60"/>
    <mergeCell ref="R44:R83"/>
    <mergeCell ref="A61:A82"/>
    <mergeCell ref="B61:B82"/>
    <mergeCell ref="C61:C82"/>
    <mergeCell ref="A90:B90"/>
    <mergeCell ref="A92:A103"/>
    <mergeCell ref="B92:B96"/>
    <mergeCell ref="C92:C103"/>
    <mergeCell ref="R108:R110"/>
    <mergeCell ref="A113:B113"/>
    <mergeCell ref="A114:B114"/>
    <mergeCell ref="A115:B115"/>
    <mergeCell ref="A104:A105"/>
    <mergeCell ref="B104:B105"/>
    <mergeCell ref="C104:C105"/>
    <mergeCell ref="R104:R105"/>
    <mergeCell ref="A106:A107"/>
    <mergeCell ref="B106:B107"/>
    <mergeCell ref="C106:C107"/>
    <mergeCell ref="R106:R107"/>
    <mergeCell ref="A116:B116"/>
    <mergeCell ref="A117:B117"/>
    <mergeCell ref="A118:C118"/>
    <mergeCell ref="A108:A110"/>
    <mergeCell ref="B108:B110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подпрог1</vt:lpstr>
      <vt:lpstr>Прил2 к пасп подпрог1</vt:lpstr>
      <vt:lpstr>Прил1 к пасп подпрог2</vt:lpstr>
      <vt:lpstr>Прил2 к пасп подпрог2</vt:lpstr>
      <vt:lpstr>Прил1 к пасп подпрог3</vt:lpstr>
      <vt:lpstr>Прил2 к пасп подпрог3</vt:lpstr>
      <vt:lpstr>Прил1 к пасп подпрог4</vt:lpstr>
      <vt:lpstr>Прил2 к пасп подпрог4</vt:lpstr>
      <vt:lpstr>'Прил1 к пасп МП'!Заголовки_для_печати</vt:lpstr>
      <vt:lpstr>'Прил1 к пасп подпрог1'!Заголовки_для_печати</vt:lpstr>
      <vt:lpstr>'Прил1 к пасп подпрог2'!Заголовки_для_печати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подпрог1'!Заголовки_для_печати</vt:lpstr>
      <vt:lpstr>'Прил2 к пасп подпрог2'!Заголовки_для_печати</vt:lpstr>
      <vt:lpstr>'Прил2 к пасп подпрог3'!Заголовки_для_печати</vt:lpstr>
      <vt:lpstr>'Прил2 к пасп подпрог4'!Заголовки_для_печати</vt:lpstr>
      <vt:lpstr>'Прил3 к МП'!Заголовки_для_печати</vt:lpstr>
      <vt:lpstr>'Прил1 к пасп МП'!Область_печати</vt:lpstr>
      <vt:lpstr>'Прил1 к пасп подпрог1'!Область_печати</vt:lpstr>
      <vt:lpstr>'Прил1 к пасп подпрог2'!Область_печати</vt:lpstr>
      <vt:lpstr>'Прил1 к пасп подпрог3'!Область_печати</vt:lpstr>
      <vt:lpstr>'Прил1 к пасп подпрог4'!Область_печати</vt:lpstr>
      <vt:lpstr>'Прил2 к МП'!Область_печати</vt:lpstr>
      <vt:lpstr>'Прил2 к пасп МП'!Область_печати</vt:lpstr>
      <vt:lpstr>'Прил2 к пасп подпрог2'!Область_печати</vt:lpstr>
      <vt:lpstr>'Прил2 к пасп подпрог3'!Область_печати</vt:lpstr>
      <vt:lpstr>'Прил2 к пасп подпрог4'!Область_печати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Отдел</cp:lastModifiedBy>
  <dcterms:created xsi:type="dcterms:W3CDTF">2020-05-06T10:31:52Z</dcterms:created>
  <dcterms:modified xsi:type="dcterms:W3CDTF">2020-05-07T01:56:31Z</dcterms:modified>
</cp:coreProperties>
</file>