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!!_ПРОГРАММЫ и СТРАТЕГИИ\!_МП СистОбраз г.Дивногорска_2014-2020\!!_МЦП_2014-2021_Действующая\ИЗМ в МП\2020-06-23 изм МП\"/>
    </mc:Choice>
  </mc:AlternateContent>
  <bookViews>
    <workbookView xWindow="0" yWindow="0" windowWidth="28800" windowHeight="12330" firstSheet="7" activeTab="12"/>
  </bookViews>
  <sheets>
    <sheet name="Прил1 к МП" sheetId="1" r:id="rId1"/>
    <sheet name="Прил2 к МП" sheetId="2" r:id="rId2"/>
    <sheet name="Прил3 к МП" sheetId="3" r:id="rId3"/>
    <sheet name="Прил1 к пасп МП" sheetId="4" r:id="rId4"/>
    <sheet name="Прил2 к пасп МП" sheetId="5" r:id="rId5"/>
    <sheet name="Прил1 к пасп подпр1" sheetId="7" r:id="rId6"/>
    <sheet name="Прил2 к пасп подпр1" sheetId="8" r:id="rId7"/>
    <sheet name="Прил1 к пасп подпр2" sheetId="10" r:id="rId8"/>
    <sheet name="Прил2 к пасп подпр2" sheetId="11" r:id="rId9"/>
    <sheet name="Прил1 к пасп подпр3" sheetId="12" r:id="rId10"/>
    <sheet name="Прил2 к пасп подпр3" sheetId="13" r:id="rId11"/>
    <sheet name="Прил1 к пасп подпр4" sheetId="14" r:id="rId12"/>
    <sheet name="Прил2 к пасп подпр4" sheetId="15" r:id="rId13"/>
  </sheets>
  <externalReferences>
    <externalReference r:id="rId14"/>
  </externalReferences>
  <definedNames>
    <definedName name="_xlnm._FilterDatabase" localSheetId="6" hidden="1">'Прил2 к пасп подпр1'!$A$4:$U$52</definedName>
    <definedName name="_xlnm._FilterDatabase" localSheetId="8" hidden="1">'Прил2 к пасп подпр2'!$A$1:$U$132</definedName>
    <definedName name="_xlnm._FilterDatabase" localSheetId="10" hidden="1">'Прил2 к пасп подпр3'!$A$4:$S$35</definedName>
    <definedName name="Z_2166B299_1DBB_4BE8_98C9_E9EFB21DCA26_.wvu.FilterData" localSheetId="6" hidden="1">'Прил2 к пасп подпр1'!$A$4:$U$52</definedName>
    <definedName name="Z_2166B299_1DBB_4BE8_98C9_E9EFB21DCA26_.wvu.FilterData" localSheetId="8" hidden="1">'Прил2 к пасп подпр2'!$A$4:$U$132</definedName>
    <definedName name="Z_2166B299_1DBB_4BE8_98C9_E9EFB21DCA26_.wvu.FilterData" localSheetId="10" hidden="1">'Прил2 к пасп подпр3'!$A$4:$S$35</definedName>
    <definedName name="Z_2715DACA_7FC2_4162_875B_92B3FB82D8B1_.wvu.FilterData" localSheetId="6" hidden="1">'Прил2 к пасп подпр1'!$A$4:$U$52</definedName>
    <definedName name="Z_2715DACA_7FC2_4162_875B_92B3FB82D8B1_.wvu.FilterData" localSheetId="8" hidden="1">'Прил2 к пасп подпр2'!$A$4:$U$132</definedName>
    <definedName name="Z_2715DACA_7FC2_4162_875B_92B3FB82D8B1_.wvu.FilterData" localSheetId="10" hidden="1">'Прил2 к пасп подпр3'!$A$4:$S$35</definedName>
    <definedName name="Z_29BFB567_1C85_481C_A8AF_8210D8E0792F_.wvu.FilterData" localSheetId="6" hidden="1">'Прил2 к пасп подпр1'!$A$4:$U$52</definedName>
    <definedName name="Z_29BFB567_1C85_481C_A8AF_8210D8E0792F_.wvu.FilterData" localSheetId="8" hidden="1">'Прил2 к пасп подпр2'!$A$4:$U$132</definedName>
    <definedName name="Z_29BFB567_1C85_481C_A8AF_8210D8E0792F_.wvu.FilterData" localSheetId="10" hidden="1">'Прил2 к пасп подпр3'!$A$4:$S$35</definedName>
    <definedName name="Z_4767DD30_F6FB_4FF0_A429_8866A8232500_.wvu.Cols" localSheetId="3" hidden="1">'Прил1 к пасп МП'!$F:$F</definedName>
    <definedName name="Z_4767DD30_F6FB_4FF0_A429_8866A8232500_.wvu.Cols" localSheetId="5" hidden="1">'Прил1 к пасп подпр1'!$D:$D</definedName>
    <definedName name="Z_4767DD30_F6FB_4FF0_A429_8866A8232500_.wvu.Cols" localSheetId="7" hidden="1">'Прил1 к пасп подпр2'!$D:$D</definedName>
    <definedName name="Z_4767DD30_F6FB_4FF0_A429_8866A8232500_.wvu.Cols" localSheetId="9" hidden="1">'Прил1 к пасп подпр3'!$C:$C</definedName>
    <definedName name="Z_4767DD30_F6FB_4FF0_A429_8866A8232500_.wvu.Cols" localSheetId="4" hidden="1">'Прил2 к пасп МП'!$D:$E</definedName>
    <definedName name="Z_4767DD30_F6FB_4FF0_A429_8866A8232500_.wvu.FilterData" localSheetId="6" hidden="1">'Прил2 к пасп подпр1'!$A$4:$U$52</definedName>
    <definedName name="Z_4767DD30_F6FB_4FF0_A429_8866A8232500_.wvu.FilterData" localSheetId="8" hidden="1">'Прил2 к пасп подпр2'!$A$4:$U$132</definedName>
    <definedName name="Z_4767DD30_F6FB_4FF0_A429_8866A8232500_.wvu.FilterData" localSheetId="10" hidden="1">'Прил2 к пасп подпр3'!$A$4:$S$35</definedName>
    <definedName name="Z_4767DD30_F6FB_4FF0_A429_8866A8232500_.wvu.PrintArea" localSheetId="3" hidden="1">'Прил1 к пасп МП'!$A$1:$M$76</definedName>
    <definedName name="Z_4767DD30_F6FB_4FF0_A429_8866A8232500_.wvu.PrintArea" localSheetId="5" hidden="1">'Прил1 к пасп подпр1'!$A$1:$J$13</definedName>
    <definedName name="Z_4767DD30_F6FB_4FF0_A429_8866A8232500_.wvu.PrintArea" localSheetId="7" hidden="1">'Прил1 к пасп подпр2'!$A$1:$J$34</definedName>
    <definedName name="Z_4767DD30_F6FB_4FF0_A429_8866A8232500_.wvu.PrintArea" localSheetId="9" hidden="1">'Прил1 к пасп подпр3'!$A$1:$H$5</definedName>
    <definedName name="Z_4767DD30_F6FB_4FF0_A429_8866A8232500_.wvu.PrintArea" localSheetId="11" hidden="1">'Прил1 к пасп подпр4'!$A$1:$K$33</definedName>
    <definedName name="Z_4767DD30_F6FB_4FF0_A429_8866A8232500_.wvu.PrintArea" localSheetId="1" hidden="1">'Прил2 к МП'!$A$1:$M$32</definedName>
    <definedName name="Z_4767DD30_F6FB_4FF0_A429_8866A8232500_.wvu.PrintArea" localSheetId="4" hidden="1">'Прил2 к пасп МП'!$A$1:$Q$10</definedName>
    <definedName name="Z_4767DD30_F6FB_4FF0_A429_8866A8232500_.wvu.PrintArea" localSheetId="6" hidden="1">'Прил2 к пасп подпр1'!$A$1:$R$58</definedName>
    <definedName name="Z_4767DD30_F6FB_4FF0_A429_8866A8232500_.wvu.PrintArea" localSheetId="8" hidden="1">'Прил2 к пасп подпр2'!$A$1:$R$129</definedName>
    <definedName name="Z_4767DD30_F6FB_4FF0_A429_8866A8232500_.wvu.PrintArea" localSheetId="10" hidden="1">'Прил2 к пасп подпр3'!$A$1:$R$40</definedName>
    <definedName name="Z_4767DD30_F6FB_4FF0_A429_8866A8232500_.wvu.PrintArea" localSheetId="12" hidden="1">'Прил2 к пасп подпр4'!$A$1:$R$58</definedName>
    <definedName name="Z_4767DD30_F6FB_4FF0_A429_8866A8232500_.wvu.PrintArea" localSheetId="2" hidden="1">'Прил3 к МП'!$A$1:$O$15</definedName>
    <definedName name="Z_4767DD30_F6FB_4FF0_A429_8866A8232500_.wvu.PrintTitles" localSheetId="3" hidden="1">'Прил1 к пасп МП'!$3:$5</definedName>
    <definedName name="Z_4767DD30_F6FB_4FF0_A429_8866A8232500_.wvu.PrintTitles" localSheetId="5" hidden="1">'Прил1 к пасп подпр1'!$3:$5</definedName>
    <definedName name="Z_4767DD30_F6FB_4FF0_A429_8866A8232500_.wvu.PrintTitles" localSheetId="7" hidden="1">'Прил1 к пасп подпр2'!$3:$5</definedName>
    <definedName name="Z_4767DD30_F6FB_4FF0_A429_8866A8232500_.wvu.PrintTitles" localSheetId="9" hidden="1">'Прил1 к пасп подпр3'!#REF!</definedName>
    <definedName name="Z_4767DD30_F6FB_4FF0_A429_8866A8232500_.wvu.PrintTitles" localSheetId="1" hidden="1">'Прил2 к МП'!$3:$4</definedName>
    <definedName name="Z_4767DD30_F6FB_4FF0_A429_8866A8232500_.wvu.PrintTitles" localSheetId="4" hidden="1">'Прил2 к пасп МП'!$3:$4</definedName>
    <definedName name="Z_4767DD30_F6FB_4FF0_A429_8866A8232500_.wvu.PrintTitles" localSheetId="6" hidden="1">'Прил2 к пасп подпр1'!$3:$4</definedName>
    <definedName name="Z_4767DD30_F6FB_4FF0_A429_8866A8232500_.wvu.PrintTitles" localSheetId="8" hidden="1">'Прил2 к пасп подпр2'!$3:$4</definedName>
    <definedName name="Z_4767DD30_F6FB_4FF0_A429_8866A8232500_.wvu.PrintTitles" localSheetId="10" hidden="1">'Прил2 к пасп подпр3'!$3:$4</definedName>
    <definedName name="Z_4767DD30_F6FB_4FF0_A429_8866A8232500_.wvu.PrintTitles" localSheetId="12" hidden="1">'Прил2 к пасп подпр4'!$3:$4</definedName>
    <definedName name="Z_4767DD30_F6FB_4FF0_A429_8866A8232500_.wvu.PrintTitles" localSheetId="2" hidden="1">'Прил3 к МП'!$3:$4</definedName>
    <definedName name="Z_4767DD30_F6FB_4FF0_A429_8866A8232500_.wvu.Rows" localSheetId="6" hidden="1">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</definedName>
    <definedName name="Z_4767DD30_F6FB_4FF0_A429_8866A8232500_.wvu.Rows" localSheetId="8" hidden="1">'Прил2 к пасп подпр2'!#REF!,'Прил2 к пасп подпр2'!#REF!,'Прил2 к пасп подпр2'!#REF!,'Прил2 к пасп подпр2'!$94:$94,'Прил2 к пасп подпр2'!#REF!,'Прил2 к пасп подпр2'!#REF!,'Прил2 к пасп подпр2'!#REF!,'Прил2 к пасп подпр2'!#REF!,'Прил2 к пасп подпр2'!#REF!</definedName>
    <definedName name="Z_4767DD30_F6FB_4FF0_A429_8866A8232500_.wvu.Rows" localSheetId="10" hidden="1">'Прил2 к пасп подпр3'!#REF!,'Прил2 к пасп подпр3'!#REF!,'Прил2 к пасп подпр3'!$6:$6,'Прил2 к пасп подпр3'!#REF!,'Прил2 к пасп подпр3'!#REF!,'Прил2 к пасп подпр3'!#REF!,'Прил2 к пасп подпр3'!#REF!,'Прил2 к пасп подпр3'!#REF!,'Прил2 к пасп подпр3'!#REF!</definedName>
    <definedName name="Z_4767DD30_F6FB_4FF0_A429_8866A8232500_.wvu.Rows" localSheetId="12" hidden="1">'Прил2 к пасп подпр4'!#REF!,'Прил2 к пасп подпр4'!#REF!</definedName>
    <definedName name="Z_484BD7FD_1D3D_4528_954E_A98D5B59AC9C_.wvu.FilterData" localSheetId="6" hidden="1">'Прил2 к пасп подпр1'!$A$4:$U$52</definedName>
    <definedName name="Z_484BD7FD_1D3D_4528_954E_A98D5B59AC9C_.wvu.FilterData" localSheetId="8" hidden="1">'Прил2 к пасп подпр2'!$A$4:$U$132</definedName>
    <definedName name="Z_484BD7FD_1D3D_4528_954E_A98D5B59AC9C_.wvu.FilterData" localSheetId="10" hidden="1">'Прил2 к пасп подпр3'!$A$4:$S$35</definedName>
    <definedName name="Z_7C917F30_361A_4C86_9002_2134EAE2E3CF_.wvu.Cols" localSheetId="5" hidden="1">'Прил1 к пасп подпр1'!$D:$D</definedName>
    <definedName name="Z_7C917F30_361A_4C86_9002_2134EAE2E3CF_.wvu.Cols" localSheetId="7" hidden="1">'Прил1 к пасп подпр2'!$D:$D</definedName>
    <definedName name="Z_7C917F30_361A_4C86_9002_2134EAE2E3CF_.wvu.Cols" localSheetId="9" hidden="1">'Прил1 к пасп подпр3'!$C:$C</definedName>
    <definedName name="Z_7C917F30_361A_4C86_9002_2134EAE2E3CF_.wvu.FilterData" localSheetId="6" hidden="1">'Прил2 к пасп подпр1'!$A$4:$U$52</definedName>
    <definedName name="Z_7C917F30_361A_4C86_9002_2134EAE2E3CF_.wvu.FilterData" localSheetId="8" hidden="1">'Прил2 к пасп подпр2'!$A$4:$U$132</definedName>
    <definedName name="Z_7C917F30_361A_4C86_9002_2134EAE2E3CF_.wvu.FilterData" localSheetId="10" hidden="1">'Прил2 к пасп подпр3'!$A$4:$S$35</definedName>
    <definedName name="Z_7C917F30_361A_4C86_9002_2134EAE2E3CF_.wvu.PrintArea" localSheetId="5" hidden="1">'Прил1 к пасп подпр1'!$A$1:$J$13</definedName>
    <definedName name="Z_7C917F30_361A_4C86_9002_2134EAE2E3CF_.wvu.PrintArea" localSheetId="7" hidden="1">'Прил1 к пасп подпр2'!$A$1:$J$34</definedName>
    <definedName name="Z_7C917F30_361A_4C86_9002_2134EAE2E3CF_.wvu.PrintArea" localSheetId="9" hidden="1">'Прил1 к пасп подпр3'!$A$1:$H$5</definedName>
    <definedName name="Z_7C917F30_361A_4C86_9002_2134EAE2E3CF_.wvu.PrintArea" localSheetId="11" hidden="1">'Прил1 к пасп подпр4'!$A$1:$K$33</definedName>
    <definedName name="Z_7C917F30_361A_4C86_9002_2134EAE2E3CF_.wvu.PrintArea" localSheetId="1" hidden="1">'Прил2 к МП'!$A$1:$M$32</definedName>
    <definedName name="Z_7C917F30_361A_4C86_9002_2134EAE2E3CF_.wvu.PrintArea" localSheetId="6" hidden="1">'Прил2 к пасп подпр1'!$A$1:$R$58</definedName>
    <definedName name="Z_7C917F30_361A_4C86_9002_2134EAE2E3CF_.wvu.PrintArea" localSheetId="8" hidden="1">'Прил2 к пасп подпр2'!$A$1:$R$129</definedName>
    <definedName name="Z_7C917F30_361A_4C86_9002_2134EAE2E3CF_.wvu.PrintArea" localSheetId="10" hidden="1">'Прил2 к пасп подпр3'!$A$1:$R$40</definedName>
    <definedName name="Z_7C917F30_361A_4C86_9002_2134EAE2E3CF_.wvu.PrintArea" localSheetId="2" hidden="1">'Прил3 к МП'!$A$1:$O$15</definedName>
    <definedName name="Z_7C917F30_361A_4C86_9002_2134EAE2E3CF_.wvu.PrintTitles" localSheetId="5" hidden="1">'Прил1 к пасп подпр1'!$3:$5</definedName>
    <definedName name="Z_7C917F30_361A_4C86_9002_2134EAE2E3CF_.wvu.PrintTitles" localSheetId="7" hidden="1">'Прил1 к пасп подпр2'!$3:$5</definedName>
    <definedName name="Z_7C917F30_361A_4C86_9002_2134EAE2E3CF_.wvu.PrintTitles" localSheetId="9" hidden="1">'Прил1 к пасп подпр3'!#REF!</definedName>
    <definedName name="Z_7C917F30_361A_4C86_9002_2134EAE2E3CF_.wvu.PrintTitles" localSheetId="1" hidden="1">'Прил2 к МП'!$3:$4</definedName>
    <definedName name="Z_7C917F30_361A_4C86_9002_2134EAE2E3CF_.wvu.PrintTitles" localSheetId="6" hidden="1">'Прил2 к пасп подпр1'!$3:$4</definedName>
    <definedName name="Z_7C917F30_361A_4C86_9002_2134EAE2E3CF_.wvu.PrintTitles" localSheetId="8" hidden="1">'Прил2 к пасп подпр2'!$3:$4</definedName>
    <definedName name="Z_7C917F30_361A_4C86_9002_2134EAE2E3CF_.wvu.PrintTitles" localSheetId="10" hidden="1">'Прил2 к пасп подпр3'!$3:$4</definedName>
    <definedName name="Z_7C917F30_361A_4C86_9002_2134EAE2E3CF_.wvu.PrintTitles" localSheetId="12" hidden="1">'Прил2 к пасп подпр4'!$3:$4</definedName>
    <definedName name="Z_7C917F30_361A_4C86_9002_2134EAE2E3CF_.wvu.PrintTitles" localSheetId="2" hidden="1">'Прил3 к МП'!$3:$4</definedName>
    <definedName name="Z_7C917F30_361A_4C86_9002_2134EAE2E3CF_.wvu.Rows" localSheetId="6" hidden="1">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</definedName>
    <definedName name="Z_7C917F30_361A_4C86_9002_2134EAE2E3CF_.wvu.Rows" localSheetId="8" hidden="1">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</definedName>
    <definedName name="Z_7C917F30_361A_4C86_9002_2134EAE2E3CF_.wvu.Rows" localSheetId="10" hidden="1">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</definedName>
    <definedName name="Z_7C917F30_361A_4C86_9002_2134EAE2E3CF_.wvu.Rows" localSheetId="12" hidden="1">'Прил2 к пасп подпр4'!#REF!,'Прил2 к пасп подпр4'!#REF!</definedName>
    <definedName name="Z_81F2AFB8_21DA_4513_90AB_0A09D7D72D56_.wvu.FilterData" localSheetId="6" hidden="1">'Прил2 к пасп подпр1'!$A$4:$U$52</definedName>
    <definedName name="Z_81F2AFB8_21DA_4513_90AB_0A09D7D72D56_.wvu.FilterData" localSheetId="8" hidden="1">'Прил2 к пасп подпр2'!$A$4:$U$132</definedName>
    <definedName name="Z_81F2AFB8_21DA_4513_90AB_0A09D7D72D56_.wvu.FilterData" localSheetId="10" hidden="1">'Прил2 к пасп подпр3'!$A$4:$S$35</definedName>
    <definedName name="Z_AD6F79BD_847B_4421_A1AA_268A55FACAB4_.wvu.FilterData" localSheetId="6" hidden="1">'Прил2 к пасп подпр1'!$A$4:$U$52</definedName>
    <definedName name="Z_AD6F79BD_847B_4421_A1AA_268A55FACAB4_.wvu.FilterData" localSheetId="8" hidden="1">'Прил2 к пасп подпр2'!$A$4:$U$132</definedName>
    <definedName name="Z_AD6F79BD_847B_4421_A1AA_268A55FACAB4_.wvu.FilterData" localSheetId="10" hidden="1">'Прил2 к пасп подпр3'!$A$4:$S$35</definedName>
    <definedName name="Z_B45C2115_52AF_4E7B_8578_551FB3CF371E_.wvu.FilterData" localSheetId="6" hidden="1">'Прил2 к пасп подпр1'!$A$4:$U$52</definedName>
    <definedName name="Z_B45C2115_52AF_4E7B_8578_551FB3CF371E_.wvu.FilterData" localSheetId="8" hidden="1">'Прил2 к пасп подпр2'!$A$4:$U$132</definedName>
    <definedName name="Z_B45C2115_52AF_4E7B_8578_551FB3CF371E_.wvu.FilterData" localSheetId="10" hidden="1">'Прил2 к пасп подпр3'!$A$4:$S$35</definedName>
    <definedName name="Z_C75D4C66_EC35_48DB_8FCD_E29923CDB091_.wvu.FilterData" localSheetId="6" hidden="1">'Прил2 к пасп подпр1'!$A$4:$U$52</definedName>
    <definedName name="Z_C75D4C66_EC35_48DB_8FCD_E29923CDB091_.wvu.FilterData" localSheetId="8" hidden="1">'Прил2 к пасп подпр2'!$A$4:$U$132</definedName>
    <definedName name="Z_C75D4C66_EC35_48DB_8FCD_E29923CDB091_.wvu.FilterData" localSheetId="10" hidden="1">'Прил2 к пасп подпр3'!$A$4:$S$35</definedName>
    <definedName name="Z_CDE1D6F6_68DF_42F8_B01A_FF6465B24CCD_.wvu.Cols" localSheetId="5" hidden="1">'Прил1 к пасп подпр1'!$D:$D</definedName>
    <definedName name="Z_CDE1D6F6_68DF_42F8_B01A_FF6465B24CCD_.wvu.Cols" localSheetId="7" hidden="1">'Прил1 к пасп подпр2'!$D:$D</definedName>
    <definedName name="Z_CDE1D6F6_68DF_42F8_B01A_FF6465B24CCD_.wvu.Cols" localSheetId="9" hidden="1">'Прил1 к пасп подпр3'!$C:$C</definedName>
    <definedName name="Z_CDE1D6F6_68DF_42F8_B01A_FF6465B24CCD_.wvu.FilterData" localSheetId="6" hidden="1">'Прил2 к пасп подпр1'!$A$4:$U$52</definedName>
    <definedName name="Z_CDE1D6F6_68DF_42F8_B01A_FF6465B24CCD_.wvu.FilterData" localSheetId="8" hidden="1">'Прил2 к пасп подпр2'!$A$4:$U$132</definedName>
    <definedName name="Z_CDE1D6F6_68DF_42F8_B01A_FF6465B24CCD_.wvu.FilterData" localSheetId="10" hidden="1">'Прил2 к пасп подпр3'!$A$4:$S$35</definedName>
    <definedName name="Z_CDE1D6F6_68DF_42F8_B01A_FF6465B24CCD_.wvu.PrintArea" localSheetId="5" hidden="1">'Прил1 к пасп подпр1'!$A$1:$J$13</definedName>
    <definedName name="Z_CDE1D6F6_68DF_42F8_B01A_FF6465B24CCD_.wvu.PrintArea" localSheetId="7" hidden="1">'Прил1 к пасп подпр2'!$A$1:$J$34</definedName>
    <definedName name="Z_CDE1D6F6_68DF_42F8_B01A_FF6465B24CCD_.wvu.PrintArea" localSheetId="9" hidden="1">'Прил1 к пасп подпр3'!$A$1:$H$5</definedName>
    <definedName name="Z_CDE1D6F6_68DF_42F8_B01A_FF6465B24CCD_.wvu.PrintArea" localSheetId="11" hidden="1">'Прил1 к пасп подпр4'!$A$1:$K$33</definedName>
    <definedName name="Z_CDE1D6F6_68DF_42F8_B01A_FF6465B24CCD_.wvu.PrintArea" localSheetId="1" hidden="1">'Прил2 к МП'!$A$1:$M$32</definedName>
    <definedName name="Z_CDE1D6F6_68DF_42F8_B01A_FF6465B24CCD_.wvu.PrintArea" localSheetId="6" hidden="1">'Прил2 к пасп подпр1'!$A$1:$R$58</definedName>
    <definedName name="Z_CDE1D6F6_68DF_42F8_B01A_FF6465B24CCD_.wvu.PrintArea" localSheetId="8" hidden="1">'Прил2 к пасп подпр2'!$A$1:$R$129</definedName>
    <definedName name="Z_CDE1D6F6_68DF_42F8_B01A_FF6465B24CCD_.wvu.PrintArea" localSheetId="10" hidden="1">'Прил2 к пасп подпр3'!$A$1:$R$40</definedName>
    <definedName name="Z_CDE1D6F6_68DF_42F8_B01A_FF6465B24CCD_.wvu.PrintArea" localSheetId="12" hidden="1">'Прил2 к пасп подпр4'!$A$1:$R$58</definedName>
    <definedName name="Z_CDE1D6F6_68DF_42F8_B01A_FF6465B24CCD_.wvu.PrintArea" localSheetId="2" hidden="1">'Прил3 к МП'!$A$1:$O$15</definedName>
    <definedName name="Z_CDE1D6F6_68DF_42F8_B01A_FF6465B24CCD_.wvu.PrintTitles" localSheetId="5" hidden="1">'Прил1 к пасп подпр1'!$3:$5</definedName>
    <definedName name="Z_CDE1D6F6_68DF_42F8_B01A_FF6465B24CCD_.wvu.PrintTitles" localSheetId="7" hidden="1">'Прил1 к пасп подпр2'!$3:$5</definedName>
    <definedName name="Z_CDE1D6F6_68DF_42F8_B01A_FF6465B24CCD_.wvu.PrintTitles" localSheetId="9" hidden="1">'Прил1 к пасп подпр3'!#REF!</definedName>
    <definedName name="Z_CDE1D6F6_68DF_42F8_B01A_FF6465B24CCD_.wvu.PrintTitles" localSheetId="1" hidden="1">'Прил2 к МП'!$3:$4</definedName>
    <definedName name="Z_CDE1D6F6_68DF_42F8_B01A_FF6465B24CCD_.wvu.PrintTitles" localSheetId="6" hidden="1">'Прил2 к пасп подпр1'!$3:$4</definedName>
    <definedName name="Z_CDE1D6F6_68DF_42F8_B01A_FF6465B24CCD_.wvu.PrintTitles" localSheetId="8" hidden="1">'Прил2 к пасп подпр2'!$3:$4</definedName>
    <definedName name="Z_CDE1D6F6_68DF_42F8_B01A_FF6465B24CCD_.wvu.PrintTitles" localSheetId="10" hidden="1">'Прил2 к пасп подпр3'!$3:$4</definedName>
    <definedName name="Z_CDE1D6F6_68DF_42F8_B01A_FF6465B24CCD_.wvu.PrintTitles" localSheetId="12" hidden="1">'Прил2 к пасп подпр4'!$3:$4</definedName>
    <definedName name="Z_CDE1D6F6_68DF_42F8_B01A_FF6465B24CCD_.wvu.PrintTitles" localSheetId="2" hidden="1">'Прил3 к МП'!$3:$4</definedName>
    <definedName name="Z_CDE1D6F6_68DF_42F8_B01A_FF6465B24CCD_.wvu.Rows" localSheetId="12" hidden="1">'Прил2 к пасп подпр4'!#REF!,'Прил2 к пасп подпр4'!#REF!</definedName>
    <definedName name="Z_D97B14A5_4ECD_4EB7_B8A7_D41E462F19A2_.wvu.FilterData" localSheetId="6" hidden="1">'Прил2 к пасп подпр1'!$A$4:$U$52</definedName>
    <definedName name="Z_D97B14A5_4ECD_4EB7_B8A7_D41E462F19A2_.wvu.FilterData" localSheetId="8" hidden="1">'Прил2 к пасп подпр2'!$A$4:$U$132</definedName>
    <definedName name="Z_D97B14A5_4ECD_4EB7_B8A7_D41E462F19A2_.wvu.FilterData" localSheetId="10" hidden="1">'Прил2 к пасп подпр3'!$A$4:$S$35</definedName>
    <definedName name="Z_FAC3C627_8E23_41AB_B3FB_95B33614D8DB_.wvu.FilterData" localSheetId="6" hidden="1">'Прил2 к пасп подпр1'!$A$4:$U$52</definedName>
    <definedName name="Z_FAC3C627_8E23_41AB_B3FB_95B33614D8DB_.wvu.FilterData" localSheetId="8" hidden="1">'Прил2 к пасп подпр2'!$A$4:$U$132</definedName>
    <definedName name="Z_FAC3C627_8E23_41AB_B3FB_95B33614D8DB_.wvu.FilterData" localSheetId="10" hidden="1">'Прил2 к пасп подпр3'!$A$4:$S$35</definedName>
    <definedName name="_xlnm.Print_Titles" localSheetId="3">'Прил1 к пасп МП'!$3:$5</definedName>
    <definedName name="_xlnm.Print_Titles" localSheetId="5">'Прил1 к пасп подпр1'!$3:$5</definedName>
    <definedName name="_xlnm.Print_Titles" localSheetId="7">'Прил1 к пасп подпр2'!$3:$5</definedName>
    <definedName name="_xlnm.Print_Titles" localSheetId="9">'Прил1 к пасп подпр3'!#REF!</definedName>
    <definedName name="_xlnm.Print_Titles" localSheetId="1">'Прил2 к МП'!$3:$4</definedName>
    <definedName name="_xlnm.Print_Titles" localSheetId="4">'Прил2 к пасп МП'!$3:$4</definedName>
    <definedName name="_xlnm.Print_Titles" localSheetId="6">'Прил2 к пасп подпр1'!$3:$4</definedName>
    <definedName name="_xlnm.Print_Titles" localSheetId="8">'Прил2 к пасп подпр2'!$3:$4</definedName>
    <definedName name="_xlnm.Print_Titles" localSheetId="10">'Прил2 к пасп подпр3'!$3:$4</definedName>
    <definedName name="_xlnm.Print_Titles" localSheetId="12">'Прил2 к пасп подпр4'!$3:$4</definedName>
    <definedName name="_xlnm.Print_Titles" localSheetId="2">'Прил3 к МП'!$3:$4</definedName>
    <definedName name="_xlnm.Print_Area" localSheetId="3">'Прил1 к пасп МП'!$A$1:$O$76</definedName>
    <definedName name="_xlnm.Print_Area" localSheetId="5">'Прил1 к пасп подпр1'!$A$1:$M$13</definedName>
    <definedName name="_xlnm.Print_Area" localSheetId="7">'Прил1 к пасп подпр2'!$A$1:$M$34</definedName>
    <definedName name="_xlnm.Print_Area" localSheetId="9">'Прил1 к пасп подпр3'!$A$1:$N$14</definedName>
    <definedName name="_xlnm.Print_Area" localSheetId="11">'Прил1 к пасп подпр4'!$A$1:$M$29</definedName>
    <definedName name="_xlnm.Print_Area" localSheetId="1">'Прил2 к МП'!$A$1:$M$32</definedName>
    <definedName name="_xlnm.Print_Area" localSheetId="4">'Прил2 к пасп МП'!$A$1:$Q$10</definedName>
    <definedName name="_xlnm.Print_Area" localSheetId="8">'Прил2 к пасп подпр2'!$A$1:$R$129</definedName>
    <definedName name="_xlnm.Print_Area" localSheetId="10">'Прил2 к пасп подпр3'!$A$1:$R$40</definedName>
    <definedName name="_xlnm.Print_Area" localSheetId="12">'Прил2 к пасп подпр4'!$A$1:$R$58</definedName>
    <definedName name="_xlnm.Print_Area" localSheetId="2">'Прил3 к МП'!$A$1:$Q$36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4" i="15" l="1"/>
  <c r="O56" i="15" s="1"/>
  <c r="N54" i="15"/>
  <c r="N56" i="15" s="1"/>
  <c r="M54" i="15"/>
  <c r="M56" i="15" s="1"/>
  <c r="L54" i="15"/>
  <c r="L56" i="15" s="1"/>
  <c r="J54" i="15"/>
  <c r="J56" i="15" s="1"/>
  <c r="I54" i="15"/>
  <c r="I56" i="15" s="1"/>
  <c r="H54" i="15"/>
  <c r="K53" i="15"/>
  <c r="K54" i="15" s="1"/>
  <c r="K56" i="15" s="1"/>
  <c r="P52" i="15"/>
  <c r="P54" i="15" s="1"/>
  <c r="P56" i="15" s="1"/>
  <c r="P51" i="15"/>
  <c r="Q51" i="15" s="1"/>
  <c r="Q50" i="15"/>
  <c r="Q49" i="15"/>
  <c r="Q48" i="15"/>
  <c r="K46" i="15"/>
  <c r="K57" i="15" s="1"/>
  <c r="I46" i="15"/>
  <c r="I57" i="15" s="1"/>
  <c r="O45" i="15"/>
  <c r="P45" i="15" s="1"/>
  <c r="Q45" i="15" s="1"/>
  <c r="N44" i="15"/>
  <c r="O44" i="15" s="1"/>
  <c r="P43" i="15"/>
  <c r="Q43" i="15" s="1"/>
  <c r="P42" i="15"/>
  <c r="O42" i="15"/>
  <c r="Q42" i="15" s="1"/>
  <c r="Q41" i="15"/>
  <c r="Q39" i="15"/>
  <c r="Q38" i="15"/>
  <c r="P37" i="15"/>
  <c r="Q37" i="15" s="1"/>
  <c r="O37" i="15"/>
  <c r="Q36" i="15"/>
  <c r="P36" i="15"/>
  <c r="Q35" i="15"/>
  <c r="P35" i="15"/>
  <c r="Q34" i="15"/>
  <c r="P34" i="15"/>
  <c r="Q33" i="15"/>
  <c r="P33" i="15"/>
  <c r="Q32" i="15"/>
  <c r="Q31" i="15"/>
  <c r="Q30" i="15"/>
  <c r="P30" i="15"/>
  <c r="Q29" i="15"/>
  <c r="P29" i="15"/>
  <c r="Q27" i="15"/>
  <c r="M26" i="15"/>
  <c r="Q26" i="15" s="1"/>
  <c r="P25" i="15"/>
  <c r="O25" i="15"/>
  <c r="N25" i="15"/>
  <c r="M25" i="15"/>
  <c r="L25" i="15"/>
  <c r="K25" i="15"/>
  <c r="J25" i="15"/>
  <c r="J46" i="15" s="1"/>
  <c r="I25" i="15"/>
  <c r="H25" i="15"/>
  <c r="H46" i="15" s="1"/>
  <c r="N24" i="15"/>
  <c r="Q24" i="15" s="1"/>
  <c r="P23" i="15"/>
  <c r="Q23" i="15" s="1"/>
  <c r="Q22" i="15"/>
  <c r="Q20" i="15"/>
  <c r="Q19" i="15"/>
  <c r="Q18" i="15"/>
  <c r="P18" i="15"/>
  <c r="L18" i="15"/>
  <c r="P17" i="15"/>
  <c r="Q17" i="15" s="1"/>
  <c r="P16" i="15"/>
  <c r="L16" i="15"/>
  <c r="Q16" i="15" s="1"/>
  <c r="Q15" i="15"/>
  <c r="P15" i="15"/>
  <c r="Q14" i="15"/>
  <c r="P14" i="15"/>
  <c r="Q13" i="15"/>
  <c r="P13" i="15"/>
  <c r="Q12" i="15"/>
  <c r="P12" i="15"/>
  <c r="Q9" i="15"/>
  <c r="N8" i="15"/>
  <c r="N46" i="15" s="1"/>
  <c r="N55" i="15" s="1"/>
  <c r="K8" i="15"/>
  <c r="Q8" i="15" s="1"/>
  <c r="Q7" i="15"/>
  <c r="O38" i="13"/>
  <c r="P38" i="13" s="1"/>
  <c r="N38" i="13"/>
  <c r="L38" i="13"/>
  <c r="K38" i="13"/>
  <c r="J38" i="13"/>
  <c r="I38" i="13"/>
  <c r="H38" i="13"/>
  <c r="M37" i="13"/>
  <c r="L37" i="13"/>
  <c r="K37" i="13"/>
  <c r="J37" i="13"/>
  <c r="I37" i="13"/>
  <c r="H37" i="13"/>
  <c r="O36" i="13"/>
  <c r="P36" i="13" s="1"/>
  <c r="N36" i="13"/>
  <c r="M36" i="13"/>
  <c r="L36" i="13"/>
  <c r="J36" i="13"/>
  <c r="I36" i="13"/>
  <c r="H36" i="13"/>
  <c r="L35" i="13"/>
  <c r="P34" i="13"/>
  <c r="N34" i="13"/>
  <c r="M34" i="13"/>
  <c r="L34" i="13"/>
  <c r="K34" i="13"/>
  <c r="J34" i="13"/>
  <c r="I34" i="13"/>
  <c r="H34" i="13"/>
  <c r="Q34" i="13" s="1"/>
  <c r="P33" i="13"/>
  <c r="Q33" i="13" s="1"/>
  <c r="Q32" i="13"/>
  <c r="P32" i="13"/>
  <c r="P31" i="13"/>
  <c r="Q31" i="13" s="1"/>
  <c r="Q30" i="13"/>
  <c r="P30" i="13"/>
  <c r="P29" i="13"/>
  <c r="Q29" i="13" s="1"/>
  <c r="Q28" i="13"/>
  <c r="P28" i="13"/>
  <c r="P27" i="13"/>
  <c r="Q27" i="13" s="1"/>
  <c r="Q26" i="13"/>
  <c r="P26" i="13"/>
  <c r="Q25" i="13"/>
  <c r="P25" i="13"/>
  <c r="M23" i="13"/>
  <c r="M35" i="13" s="1"/>
  <c r="L23" i="13"/>
  <c r="J23" i="13"/>
  <c r="J35" i="13" s="1"/>
  <c r="I23" i="13"/>
  <c r="I35" i="13" s="1"/>
  <c r="Q22" i="13"/>
  <c r="P22" i="13"/>
  <c r="Q21" i="13"/>
  <c r="N21" i="13"/>
  <c r="Q20" i="13"/>
  <c r="P19" i="13"/>
  <c r="Q19" i="13" s="1"/>
  <c r="M18" i="13"/>
  <c r="M38" i="13" s="1"/>
  <c r="Q17" i="13"/>
  <c r="Q16" i="13"/>
  <c r="P16" i="13"/>
  <c r="O16" i="13"/>
  <c r="O37" i="13" s="1"/>
  <c r="P37" i="13" s="1"/>
  <c r="N16" i="13"/>
  <c r="N37" i="13" s="1"/>
  <c r="Q15" i="13"/>
  <c r="P15" i="13"/>
  <c r="P14" i="13"/>
  <c r="K14" i="13"/>
  <c r="K23" i="13" s="1"/>
  <c r="K35" i="13" s="1"/>
  <c r="P13" i="13"/>
  <c r="Q13" i="13" s="1"/>
  <c r="P12" i="13"/>
  <c r="H12" i="13"/>
  <c r="H23" i="13" s="1"/>
  <c r="Q11" i="13"/>
  <c r="P11" i="13"/>
  <c r="Q10" i="13"/>
  <c r="P9" i="13"/>
  <c r="Q9" i="13" s="1"/>
  <c r="Q8" i="13"/>
  <c r="Q6" i="13"/>
  <c r="K128" i="11"/>
  <c r="J128" i="11"/>
  <c r="I128" i="11"/>
  <c r="O127" i="11"/>
  <c r="N127" i="11"/>
  <c r="M127" i="11"/>
  <c r="H127" i="11"/>
  <c r="O126" i="11"/>
  <c r="N126" i="11"/>
  <c r="J126" i="11"/>
  <c r="I126" i="11"/>
  <c r="H126" i="11"/>
  <c r="O124" i="11"/>
  <c r="O125" i="11" s="1"/>
  <c r="N124" i="11"/>
  <c r="M124" i="11"/>
  <c r="K124" i="11"/>
  <c r="K125" i="11" s="1"/>
  <c r="I124" i="11"/>
  <c r="P120" i="11"/>
  <c r="Q120" i="11" s="1"/>
  <c r="Q119" i="11"/>
  <c r="P119" i="11"/>
  <c r="P118" i="11"/>
  <c r="Q118" i="11" s="1"/>
  <c r="Q117" i="11"/>
  <c r="P117" i="11"/>
  <c r="P116" i="11"/>
  <c r="Q116" i="11" s="1"/>
  <c r="Q115" i="11"/>
  <c r="P115" i="11"/>
  <c r="P114" i="11"/>
  <c r="Q114" i="11" s="1"/>
  <c r="Q113" i="11"/>
  <c r="P113" i="11"/>
  <c r="P112" i="11"/>
  <c r="Q112" i="11" s="1"/>
  <c r="L111" i="11"/>
  <c r="L124" i="11" s="1"/>
  <c r="H111" i="11"/>
  <c r="Q111" i="11" s="1"/>
  <c r="Q110" i="11"/>
  <c r="Q109" i="11"/>
  <c r="P108" i="11"/>
  <c r="Q108" i="11" s="1"/>
  <c r="Q107" i="11"/>
  <c r="P107" i="11"/>
  <c r="P105" i="11"/>
  <c r="Q105" i="11" s="1"/>
  <c r="Q104" i="11"/>
  <c r="P104" i="11"/>
  <c r="P103" i="11"/>
  <c r="Q103" i="11" s="1"/>
  <c r="Q102" i="11"/>
  <c r="Q101" i="11"/>
  <c r="P101" i="11"/>
  <c r="P100" i="11"/>
  <c r="P124" i="11" s="1"/>
  <c r="J100" i="11"/>
  <c r="J127" i="11" s="1"/>
  <c r="Q99" i="11"/>
  <c r="O97" i="11"/>
  <c r="K97" i="11"/>
  <c r="J97" i="11"/>
  <c r="H97" i="11"/>
  <c r="Q96" i="11"/>
  <c r="P96" i="11"/>
  <c r="P95" i="11"/>
  <c r="Q95" i="11" s="1"/>
  <c r="Q94" i="11"/>
  <c r="P94" i="11"/>
  <c r="P93" i="11"/>
  <c r="Q93" i="11" s="1"/>
  <c r="Q92" i="11"/>
  <c r="P92" i="11"/>
  <c r="P91" i="11"/>
  <c r="Q91" i="11" s="1"/>
  <c r="P90" i="11"/>
  <c r="O90" i="11"/>
  <c r="O128" i="11" s="1"/>
  <c r="P128" i="11" s="1"/>
  <c r="N90" i="11"/>
  <c r="N97" i="11" s="1"/>
  <c r="M90" i="11"/>
  <c r="M128" i="11" s="1"/>
  <c r="L90" i="11"/>
  <c r="L128" i="11" s="1"/>
  <c r="P89" i="11"/>
  <c r="Q89" i="11" s="1"/>
  <c r="Q88" i="11"/>
  <c r="P88" i="11"/>
  <c r="P87" i="11"/>
  <c r="Q87" i="11" s="1"/>
  <c r="Q86" i="11"/>
  <c r="Q85" i="11"/>
  <c r="P84" i="11"/>
  <c r="Q84" i="11" s="1"/>
  <c r="Q83" i="11"/>
  <c r="P83" i="11"/>
  <c r="Q82" i="11"/>
  <c r="Q81" i="11"/>
  <c r="Q80" i="11"/>
  <c r="Q79" i="11"/>
  <c r="L78" i="11"/>
  <c r="Q78" i="11" s="1"/>
  <c r="Q77" i="11"/>
  <c r="P77" i="11"/>
  <c r="P76" i="11"/>
  <c r="Q76" i="11" s="1"/>
  <c r="Q75" i="11"/>
  <c r="Q74" i="11"/>
  <c r="Q73" i="11"/>
  <c r="Q72" i="11"/>
  <c r="Q71" i="11"/>
  <c r="Q70" i="11"/>
  <c r="Q69" i="11"/>
  <c r="M68" i="11"/>
  <c r="M126" i="11" s="1"/>
  <c r="K68" i="11"/>
  <c r="Q67" i="11"/>
  <c r="Q66" i="11"/>
  <c r="Q65" i="11"/>
  <c r="P64" i="11"/>
  <c r="Q64" i="11" s="1"/>
  <c r="P63" i="11"/>
  <c r="Q63" i="11" s="1"/>
  <c r="P62" i="11"/>
  <c r="Q62" i="11" s="1"/>
  <c r="P61" i="11"/>
  <c r="Q61" i="11" s="1"/>
  <c r="P60" i="11"/>
  <c r="Q60" i="11" s="1"/>
  <c r="P59" i="11"/>
  <c r="Q59" i="11" s="1"/>
  <c r="P58" i="11"/>
  <c r="Q58" i="11" s="1"/>
  <c r="Q57" i="11"/>
  <c r="Q56" i="11"/>
  <c r="K55" i="11"/>
  <c r="Q55" i="11" s="1"/>
  <c r="Q54" i="11"/>
  <c r="Q53" i="11"/>
  <c r="P53" i="11"/>
  <c r="Q52" i="11"/>
  <c r="P51" i="11"/>
  <c r="P97" i="11" s="1"/>
  <c r="Q50" i="11"/>
  <c r="L49" i="11"/>
  <c r="L127" i="11" s="1"/>
  <c r="I49" i="11"/>
  <c r="I127" i="11" s="1"/>
  <c r="H49" i="11"/>
  <c r="Q48" i="11"/>
  <c r="O46" i="11"/>
  <c r="N46" i="11"/>
  <c r="L46" i="11"/>
  <c r="J46" i="11"/>
  <c r="I46" i="11"/>
  <c r="H46" i="11"/>
  <c r="Q42" i="11"/>
  <c r="Q41" i="11"/>
  <c r="Q40" i="11"/>
  <c r="Q39" i="11"/>
  <c r="N39" i="11"/>
  <c r="Q38" i="11"/>
  <c r="Q37" i="11"/>
  <c r="Q36" i="11"/>
  <c r="Q35" i="11"/>
  <c r="Q34" i="11"/>
  <c r="Q33" i="11"/>
  <c r="Q32" i="11"/>
  <c r="Q31" i="11"/>
  <c r="P30" i="11"/>
  <c r="Q30" i="11" s="1"/>
  <c r="Q29" i="11"/>
  <c r="P29" i="11"/>
  <c r="K29" i="11"/>
  <c r="P28" i="11"/>
  <c r="Q28" i="11" s="1"/>
  <c r="L28" i="11"/>
  <c r="L126" i="11" s="1"/>
  <c r="K28" i="11"/>
  <c r="P27" i="11"/>
  <c r="Q27" i="11" s="1"/>
  <c r="P26" i="11"/>
  <c r="Q26" i="11" s="1"/>
  <c r="P25" i="11"/>
  <c r="Q25" i="11" s="1"/>
  <c r="P24" i="11"/>
  <c r="Q24" i="11" s="1"/>
  <c r="Q21" i="11"/>
  <c r="Q20" i="11"/>
  <c r="P19" i="11"/>
  <c r="Q19" i="11" s="1"/>
  <c r="P18" i="11"/>
  <c r="Q18" i="11" s="1"/>
  <c r="P17" i="11"/>
  <c r="Q17" i="11" s="1"/>
  <c r="P16" i="11"/>
  <c r="Q16" i="11" s="1"/>
  <c r="P15" i="11"/>
  <c r="M15" i="11"/>
  <c r="Q15" i="11" s="1"/>
  <c r="Q14" i="11"/>
  <c r="P13" i="11"/>
  <c r="Q13" i="11" s="1"/>
  <c r="Q12" i="11"/>
  <c r="Q11" i="11"/>
  <c r="P10" i="11"/>
  <c r="Q10" i="11" s="1"/>
  <c r="P9" i="11"/>
  <c r="Q9" i="11" s="1"/>
  <c r="K9" i="11"/>
  <c r="K127" i="11" s="1"/>
  <c r="P8" i="11"/>
  <c r="Q8" i="11" s="1"/>
  <c r="Q7" i="11"/>
  <c r="P7" i="11"/>
  <c r="P126" i="11" s="1"/>
  <c r="K7" i="11"/>
  <c r="K46" i="11" s="1"/>
  <c r="O55" i="8"/>
  <c r="P55" i="8" s="1"/>
  <c r="N55" i="8"/>
  <c r="M55" i="8"/>
  <c r="L55" i="8"/>
  <c r="K55" i="8"/>
  <c r="J55" i="8"/>
  <c r="I55" i="8"/>
  <c r="H55" i="8"/>
  <c r="Q55" i="8" s="1"/>
  <c r="P54" i="8"/>
  <c r="O54" i="8"/>
  <c r="N54" i="8"/>
  <c r="M54" i="8"/>
  <c r="L54" i="8"/>
  <c r="K54" i="8"/>
  <c r="J54" i="8"/>
  <c r="I54" i="8"/>
  <c r="H54" i="8"/>
  <c r="Q54" i="8" s="1"/>
  <c r="O53" i="8"/>
  <c r="P53" i="8" s="1"/>
  <c r="N53" i="8"/>
  <c r="M53" i="8"/>
  <c r="K53" i="8"/>
  <c r="J53" i="8"/>
  <c r="I53" i="8"/>
  <c r="H53" i="8"/>
  <c r="Q53" i="8" s="1"/>
  <c r="H52" i="8"/>
  <c r="O51" i="8"/>
  <c r="O52" i="8" s="1"/>
  <c r="P52" i="8" s="1"/>
  <c r="N51" i="8"/>
  <c r="N52" i="8" s="1"/>
  <c r="M51" i="8"/>
  <c r="M52" i="8" s="1"/>
  <c r="K51" i="8"/>
  <c r="K52" i="8" s="1"/>
  <c r="J51" i="8"/>
  <c r="J52" i="8" s="1"/>
  <c r="I51" i="8"/>
  <c r="I52" i="8" s="1"/>
  <c r="H51" i="8"/>
  <c r="P50" i="8"/>
  <c r="Q50" i="8" s="1"/>
  <c r="Q49" i="8"/>
  <c r="P49" i="8"/>
  <c r="P48" i="8"/>
  <c r="Q48" i="8" s="1"/>
  <c r="Q47" i="8"/>
  <c r="P47" i="8"/>
  <c r="P46" i="8"/>
  <c r="Q46" i="8" s="1"/>
  <c r="Q45" i="8"/>
  <c r="P45" i="8"/>
  <c r="P44" i="8"/>
  <c r="Q44" i="8" s="1"/>
  <c r="Q43" i="8"/>
  <c r="Q42" i="8"/>
  <c r="P41" i="8"/>
  <c r="Q41" i="8" s="1"/>
  <c r="Q40" i="8"/>
  <c r="L40" i="8"/>
  <c r="L53" i="8" s="1"/>
  <c r="P39" i="8"/>
  <c r="Q39" i="8" s="1"/>
  <c r="Q38" i="8"/>
  <c r="P38" i="8"/>
  <c r="P37" i="8"/>
  <c r="Q37" i="8" s="1"/>
  <c r="Q35" i="8"/>
  <c r="P35" i="8"/>
  <c r="P34" i="8"/>
  <c r="Q34" i="8" s="1"/>
  <c r="Q33" i="8"/>
  <c r="P32" i="8"/>
  <c r="Q32" i="8" s="1"/>
  <c r="Q31" i="8"/>
  <c r="P31" i="8"/>
  <c r="P30" i="8"/>
  <c r="Q30" i="8" s="1"/>
  <c r="Q29" i="8"/>
  <c r="P29" i="8"/>
  <c r="P28" i="8"/>
  <c r="Q28" i="8" s="1"/>
  <c r="Q27" i="8"/>
  <c r="P27" i="8"/>
  <c r="Q26" i="8"/>
  <c r="Q25" i="8"/>
  <c r="Q24" i="8"/>
  <c r="Q23" i="8"/>
  <c r="P22" i="8"/>
  <c r="Q22" i="8" s="1"/>
  <c r="Q21" i="8"/>
  <c r="P21" i="8"/>
  <c r="Q20" i="8"/>
  <c r="Q19" i="8"/>
  <c r="Q18" i="8"/>
  <c r="P17" i="8"/>
  <c r="Q17" i="8" s="1"/>
  <c r="P16" i="8"/>
  <c r="Q16" i="8" s="1"/>
  <c r="Q15" i="8"/>
  <c r="P15" i="8"/>
  <c r="P14" i="8"/>
  <c r="Q14" i="8" s="1"/>
  <c r="Q13" i="8"/>
  <c r="Q12" i="8"/>
  <c r="Q11" i="8"/>
  <c r="Q10" i="8"/>
  <c r="P10" i="8"/>
  <c r="Q9" i="8"/>
  <c r="Q8" i="8"/>
  <c r="Q7" i="8"/>
  <c r="P7" i="8"/>
  <c r="D7" i="5"/>
  <c r="M55" i="4"/>
  <c r="N55" i="4" s="1"/>
  <c r="O55" i="4" s="1"/>
  <c r="O54" i="4"/>
  <c r="N54" i="4"/>
  <c r="N53" i="4"/>
  <c r="O53" i="4" s="1"/>
  <c r="Q32" i="3"/>
  <c r="P32" i="3"/>
  <c r="O32" i="3"/>
  <c r="N32" i="3"/>
  <c r="M32" i="3"/>
  <c r="L32" i="3"/>
  <c r="Q28" i="3"/>
  <c r="Q20" i="3"/>
  <c r="P20" i="3"/>
  <c r="O20" i="3"/>
  <c r="M20" i="3"/>
  <c r="L20" i="3"/>
  <c r="O19" i="3"/>
  <c r="P19" i="3" s="1"/>
  <c r="N19" i="3"/>
  <c r="M19" i="3"/>
  <c r="L19" i="3"/>
  <c r="Q16" i="3"/>
  <c r="P16" i="3"/>
  <c r="O16" i="3"/>
  <c r="N16" i="3"/>
  <c r="M16" i="3"/>
  <c r="Q12" i="3"/>
  <c r="P12" i="3"/>
  <c r="O12" i="3"/>
  <c r="N12" i="3"/>
  <c r="M12" i="3"/>
  <c r="L8" i="3"/>
  <c r="L31" i="2"/>
  <c r="M31" i="2" s="1"/>
  <c r="L30" i="2"/>
  <c r="M30" i="2" s="1"/>
  <c r="M29" i="2"/>
  <c r="L28" i="2"/>
  <c r="L27" i="2" s="1"/>
  <c r="K27" i="2"/>
  <c r="J27" i="2"/>
  <c r="I27" i="2"/>
  <c r="H27" i="2"/>
  <c r="G27" i="2"/>
  <c r="F27" i="2"/>
  <c r="E27" i="2"/>
  <c r="D27" i="2"/>
  <c r="M26" i="2"/>
  <c r="L25" i="2"/>
  <c r="M25" i="2" s="1"/>
  <c r="M24" i="2"/>
  <c r="L23" i="2"/>
  <c r="M23" i="2" s="1"/>
  <c r="K22" i="2"/>
  <c r="L22" i="2" s="1"/>
  <c r="J22" i="2"/>
  <c r="I22" i="2"/>
  <c r="H22" i="2"/>
  <c r="G22" i="2"/>
  <c r="F22" i="2"/>
  <c r="E22" i="2"/>
  <c r="M22" i="2" s="1"/>
  <c r="D22" i="2"/>
  <c r="M21" i="2"/>
  <c r="M20" i="2"/>
  <c r="M19" i="2"/>
  <c r="M16" i="2" s="1"/>
  <c r="L18" i="2"/>
  <c r="K18" i="2"/>
  <c r="K16" i="2" s="1"/>
  <c r="J18" i="2"/>
  <c r="M18" i="2" s="1"/>
  <c r="M7" i="2" s="1"/>
  <c r="L17" i="2"/>
  <c r="M17" i="2" s="1"/>
  <c r="L16" i="2"/>
  <c r="I16" i="2"/>
  <c r="H16" i="2"/>
  <c r="G16" i="2"/>
  <c r="F16" i="2"/>
  <c r="E16" i="2"/>
  <c r="D16" i="2"/>
  <c r="M15" i="2"/>
  <c r="M14" i="2"/>
  <c r="M13" i="2"/>
  <c r="M12" i="2"/>
  <c r="L12" i="2"/>
  <c r="K11" i="2"/>
  <c r="L11" i="2" s="1"/>
  <c r="J11" i="2"/>
  <c r="I11" i="2"/>
  <c r="H11" i="2"/>
  <c r="G11" i="2"/>
  <c r="F11" i="2"/>
  <c r="E11" i="2"/>
  <c r="D11" i="2"/>
  <c r="K10" i="2"/>
  <c r="L10" i="2" s="1"/>
  <c r="J10" i="2"/>
  <c r="I10" i="2"/>
  <c r="H10" i="2"/>
  <c r="G10" i="2"/>
  <c r="F10" i="2"/>
  <c r="E10" i="2"/>
  <c r="D10" i="2"/>
  <c r="K9" i="2"/>
  <c r="J9" i="2"/>
  <c r="I9" i="2"/>
  <c r="H9" i="2"/>
  <c r="G9" i="2"/>
  <c r="F9" i="2"/>
  <c r="E9" i="2"/>
  <c r="D9" i="2"/>
  <c r="L8" i="2"/>
  <c r="K8" i="2"/>
  <c r="J8" i="2"/>
  <c r="I8" i="2"/>
  <c r="I5" i="2" s="1"/>
  <c r="H8" i="2"/>
  <c r="G8" i="2"/>
  <c r="F8" i="2"/>
  <c r="F5" i="2" s="1"/>
  <c r="E8" i="2"/>
  <c r="E5" i="2" s="1"/>
  <c r="D8" i="2"/>
  <c r="L7" i="2"/>
  <c r="K7" i="2"/>
  <c r="K5" i="2"/>
  <c r="H5" i="2"/>
  <c r="G5" i="2"/>
  <c r="D5" i="2"/>
  <c r="Q26" i="1"/>
  <c r="P26" i="1"/>
  <c r="K25" i="1"/>
  <c r="K22" i="1" s="1"/>
  <c r="J25" i="1"/>
  <c r="I25" i="1"/>
  <c r="Q25" i="1" s="1"/>
  <c r="P24" i="1"/>
  <c r="P22" i="1" s="1"/>
  <c r="O24" i="1"/>
  <c r="Q24" i="1" s="1"/>
  <c r="M24" i="1"/>
  <c r="P23" i="1"/>
  <c r="Q23" i="1" s="1"/>
  <c r="O22" i="1"/>
  <c r="N22" i="1"/>
  <c r="M22" i="1"/>
  <c r="L22" i="1"/>
  <c r="J22" i="1"/>
  <c r="I22" i="1"/>
  <c r="H22" i="1"/>
  <c r="Q22" i="1" s="1"/>
  <c r="Q21" i="1"/>
  <c r="Q20" i="1"/>
  <c r="P20" i="1"/>
  <c r="O19" i="1"/>
  <c r="P19" i="1" s="1"/>
  <c r="N19" i="1"/>
  <c r="M19" i="1"/>
  <c r="L19" i="1"/>
  <c r="K19" i="1"/>
  <c r="J19" i="1"/>
  <c r="I19" i="1"/>
  <c r="H19" i="1"/>
  <c r="Q19" i="1" s="1"/>
  <c r="Q18" i="1"/>
  <c r="Q17" i="1"/>
  <c r="P17" i="1"/>
  <c r="P16" i="1"/>
  <c r="Q16" i="1" s="1"/>
  <c r="P15" i="1"/>
  <c r="O15" i="1"/>
  <c r="N15" i="1"/>
  <c r="M15" i="1"/>
  <c r="L15" i="1"/>
  <c r="K15" i="1"/>
  <c r="J15" i="1"/>
  <c r="I15" i="1"/>
  <c r="H15" i="1"/>
  <c r="Q15" i="1" s="1"/>
  <c r="P14" i="1"/>
  <c r="Q14" i="1" s="1"/>
  <c r="Q13" i="1"/>
  <c r="P13" i="1"/>
  <c r="P12" i="1"/>
  <c r="Q12" i="1" s="1"/>
  <c r="O11" i="1"/>
  <c r="P11" i="1" s="1"/>
  <c r="N11" i="1"/>
  <c r="M11" i="1"/>
  <c r="L11" i="1"/>
  <c r="K11" i="1"/>
  <c r="J11" i="1"/>
  <c r="I11" i="1"/>
  <c r="H11" i="1"/>
  <c r="Q11" i="1" s="1"/>
  <c r="P10" i="1"/>
  <c r="O10" i="1"/>
  <c r="N10" i="1"/>
  <c r="M10" i="1"/>
  <c r="L10" i="1"/>
  <c r="K10" i="1"/>
  <c r="J10" i="1"/>
  <c r="I10" i="1"/>
  <c r="H10" i="1"/>
  <c r="Q10" i="1" s="1"/>
  <c r="O9" i="1"/>
  <c r="P9" i="1" s="1"/>
  <c r="P5" i="1" s="1"/>
  <c r="N9" i="1"/>
  <c r="M9" i="1"/>
  <c r="L9" i="1"/>
  <c r="K9" i="1"/>
  <c r="J9" i="1"/>
  <c r="I9" i="1"/>
  <c r="H9" i="1"/>
  <c r="P8" i="1"/>
  <c r="M8" i="1"/>
  <c r="Q8" i="1" s="1"/>
  <c r="P7" i="1"/>
  <c r="O7" i="1"/>
  <c r="N7" i="1"/>
  <c r="M7" i="1"/>
  <c r="L7" i="1"/>
  <c r="K7" i="1"/>
  <c r="J7" i="1"/>
  <c r="I7" i="1"/>
  <c r="H7" i="1"/>
  <c r="Q7" i="1" s="1"/>
  <c r="Q6" i="1"/>
  <c r="P6" i="1"/>
  <c r="O5" i="1"/>
  <c r="N5" i="1"/>
  <c r="M5" i="1"/>
  <c r="L5" i="1"/>
  <c r="K5" i="1"/>
  <c r="J5" i="1"/>
  <c r="I5" i="1"/>
  <c r="H5" i="1"/>
  <c r="Q5" i="1" s="1"/>
  <c r="J57" i="15" l="1"/>
  <c r="J55" i="15"/>
  <c r="N57" i="15"/>
  <c r="Q54" i="15"/>
  <c r="H57" i="15"/>
  <c r="H55" i="15"/>
  <c r="P46" i="15"/>
  <c r="P55" i="15" s="1"/>
  <c r="P57" i="15" s="1"/>
  <c r="O46" i="15"/>
  <c r="O55" i="15" s="1"/>
  <c r="O57" i="15" s="1"/>
  <c r="P44" i="15"/>
  <c r="H56" i="15"/>
  <c r="Q56" i="15" s="1"/>
  <c r="Q25" i="15"/>
  <c r="Q46" i="15" s="1"/>
  <c r="Q44" i="15"/>
  <c r="L46" i="15"/>
  <c r="L55" i="15" s="1"/>
  <c r="Q52" i="15"/>
  <c r="K55" i="15"/>
  <c r="M46" i="15"/>
  <c r="M55" i="15" s="1"/>
  <c r="M57" i="15" s="1"/>
  <c r="L57" i="15"/>
  <c r="Q53" i="15"/>
  <c r="I55" i="15"/>
  <c r="Q38" i="13"/>
  <c r="H35" i="13"/>
  <c r="Q37" i="13"/>
  <c r="Q12" i="13"/>
  <c r="N23" i="13"/>
  <c r="N35" i="13" s="1"/>
  <c r="K36" i="13"/>
  <c r="Q36" i="13" s="1"/>
  <c r="Q14" i="13"/>
  <c r="O23" i="13"/>
  <c r="Q18" i="13"/>
  <c r="N125" i="11"/>
  <c r="Q46" i="11"/>
  <c r="M46" i="11"/>
  <c r="Q51" i="11"/>
  <c r="L97" i="11"/>
  <c r="L125" i="11" s="1"/>
  <c r="P127" i="11"/>
  <c r="Q127" i="11" s="1"/>
  <c r="N128" i="11"/>
  <c r="Q49" i="11"/>
  <c r="I97" i="11"/>
  <c r="I125" i="11" s="1"/>
  <c r="M97" i="11"/>
  <c r="Q100" i="11"/>
  <c r="K126" i="11"/>
  <c r="Q126" i="11" s="1"/>
  <c r="P46" i="11"/>
  <c r="P125" i="11" s="1"/>
  <c r="Q90" i="11"/>
  <c r="Q68" i="11"/>
  <c r="J124" i="11"/>
  <c r="J125" i="11" s="1"/>
  <c r="H124" i="11"/>
  <c r="H128" i="11"/>
  <c r="L51" i="8"/>
  <c r="L52" i="8" s="1"/>
  <c r="Q52" i="8" s="1"/>
  <c r="P51" i="8"/>
  <c r="M11" i="2"/>
  <c r="M10" i="2"/>
  <c r="M9" i="2"/>
  <c r="M27" i="2"/>
  <c r="M8" i="2"/>
  <c r="L9" i="2"/>
  <c r="L5" i="2" s="1"/>
  <c r="J16" i="2"/>
  <c r="M28" i="2"/>
  <c r="J7" i="2"/>
  <c r="J5" i="2" s="1"/>
  <c r="Q9" i="1"/>
  <c r="Q55" i="15" l="1"/>
  <c r="Q57" i="15" s="1"/>
  <c r="O35" i="13"/>
  <c r="P35" i="13" s="1"/>
  <c r="P23" i="13"/>
  <c r="Q23" i="13" s="1"/>
  <c r="M125" i="11"/>
  <c r="Q128" i="11"/>
  <c r="Q124" i="11"/>
  <c r="H125" i="11"/>
  <c r="Q125" i="11" s="1"/>
  <c r="Q97" i="11"/>
  <c r="Q51" i="8"/>
  <c r="M5" i="2"/>
  <c r="Q35" i="13" l="1"/>
</calcChain>
</file>

<file path=xl/sharedStrings.xml><?xml version="1.0" encoding="utf-8"?>
<sst xmlns="http://schemas.openxmlformats.org/spreadsheetml/2006/main" count="1839" uniqueCount="610">
  <si>
    <t>Приложение № 1
к муниципальной программе 
«Система образования 
города Дивногорска »</t>
  </si>
  <si>
    <t>Информация о распределении планируемых расходов по отдельным мероприятиям программ, подпрограммам государственной программы</t>
  </si>
  <si>
    <t>Статус (муниципальная программа, подпрограмма)</t>
  </si>
  <si>
    <t>Наименование программы, подпрограммы</t>
  </si>
  <si>
    <t>Наименование РБС</t>
  </si>
  <si>
    <t>Код бюджетной классификации</t>
  </si>
  <si>
    <t>Расходы (тыс. руб.), годы</t>
  </si>
  <si>
    <t>РБС</t>
  </si>
  <si>
    <t>Рз Пр</t>
  </si>
  <si>
    <t>ЦСР</t>
  </si>
  <si>
    <t>ВР</t>
  </si>
  <si>
    <t>Итого на период</t>
  </si>
  <si>
    <t>Муниципальная программа</t>
  </si>
  <si>
    <t>«Система образования 
города Дивногорска »</t>
  </si>
  <si>
    <t>всего расходное обязательство по программе</t>
  </si>
  <si>
    <t>х</t>
  </si>
  <si>
    <t>в том числе по РБС:</t>
  </si>
  <si>
    <t>Отдел образования администрации города Дивногорска</t>
  </si>
  <si>
    <t>975</t>
  </si>
  <si>
    <t>Администрация города Дивногорска</t>
  </si>
  <si>
    <t>906</t>
  </si>
  <si>
    <t>МСКУ "МЦБ"</t>
  </si>
  <si>
    <t>976</t>
  </si>
  <si>
    <t>Подпрограмма 1</t>
  </si>
  <si>
    <t>«Дошкольное образование детей»</t>
  </si>
  <si>
    <t>Управление социальной защиты администрации города Дивногорска</t>
  </si>
  <si>
    <t>948</t>
  </si>
  <si>
    <t>Подпрограмма 2</t>
  </si>
  <si>
    <t>«Общее и дополнительное образование детей»</t>
  </si>
  <si>
    <t>Подпрограмма 3</t>
  </si>
  <si>
    <t>«Обеспечение безопасного качественного отдыха и оздоровления детей в период каникул»</t>
  </si>
  <si>
    <t>Подпрограмма 4</t>
  </si>
  <si>
    <t>«Обеспечение реализации муниципальной программы и прочие мероприятия в области образования»</t>
  </si>
  <si>
    <t>Начальник отдела образования администрации города Дивногорска</t>
  </si>
  <si>
    <t>Г.В.Кабацура</t>
  </si>
  <si>
    <t>Приложение № 2
к муниципальной программе 
«Система образования 
города Дивногорска »</t>
  </si>
  <si>
    <t>Информация о ресурсном обеспечении и прогнозной оценке расходов на реализацию целей муниципальной программы 
с учетом источников финансирования, в том числе средств краевого бюджета и бюджета муниципального образования город Дивногорск</t>
  </si>
  <si>
    <t>Статус</t>
  </si>
  <si>
    <t>Наименование муниципальной программы, подпрограммы муниципальной программы</t>
  </si>
  <si>
    <t>Ответственный исполнитель, соисполнители</t>
  </si>
  <si>
    <t>Оценка расходов 
(тыс. руб.), годы</t>
  </si>
  <si>
    <t>2014 год</t>
  </si>
  <si>
    <t>2015 год</t>
  </si>
  <si>
    <t>2016 год</t>
  </si>
  <si>
    <t>2017 год</t>
  </si>
  <si>
    <t>2018 год</t>
  </si>
  <si>
    <t>2019 год</t>
  </si>
  <si>
    <t>2020 год</t>
  </si>
  <si>
    <t>2021 год</t>
  </si>
  <si>
    <t>2022 год</t>
  </si>
  <si>
    <t>Всего</t>
  </si>
  <si>
    <t>в том числе:</t>
  </si>
  <si>
    <t xml:space="preserve">федеральный бюджет </t>
  </si>
  <si>
    <t xml:space="preserve">краевой бюджет </t>
  </si>
  <si>
    <t>муниципальный бюджет</t>
  </si>
  <si>
    <t>внебюджетные источники</t>
  </si>
  <si>
    <t xml:space="preserve">Подпрограмма 1 </t>
  </si>
  <si>
    <t xml:space="preserve">       краевой бюджет </t>
  </si>
  <si>
    <t xml:space="preserve">      муниципальный бюджет</t>
  </si>
  <si>
    <t xml:space="preserve">      внебюджетные источники</t>
  </si>
  <si>
    <t xml:space="preserve">Подпрограмма 2 </t>
  </si>
  <si>
    <t xml:space="preserve">     краевой бюджет </t>
  </si>
  <si>
    <t xml:space="preserve">    муниципальный бюджет</t>
  </si>
  <si>
    <t xml:space="preserve">    внебюджетные источники</t>
  </si>
  <si>
    <t>Приложение № 3
к муниципальной программе 
«Система образования 
города Дивногорска »</t>
  </si>
  <si>
    <t>Прогноз сводных показателей муниципальных заданий на оказание муниципальных услуг муниципальными учреждениями 
по муниципальной программе «Система образования города Дивногорска»</t>
  </si>
  <si>
    <t>Наименование услуги, показателя объема услуги (работы)</t>
  </si>
  <si>
    <t>Значение показателя объема услуги (работы)</t>
  </si>
  <si>
    <t>Расходы муниципального бюджета на оказание (выполнение) муниципальной услуги (работы), тыс. руб.</t>
  </si>
  <si>
    <t>Наименование услуги и ее содержание: реализация основных общеобразовательных программ дошкольного образования</t>
  </si>
  <si>
    <t>Показатель объема услуги:</t>
  </si>
  <si>
    <t>Количество детей от 2-х мес. до 7 лет</t>
  </si>
  <si>
    <t>Подпрограмма 1. «Дошкольное образование детей»</t>
  </si>
  <si>
    <t>Обеспечение деятельности (оказание услуг) подведомственных учреждений</t>
  </si>
  <si>
    <t>Наименование услуги и ее содержание: реализация основных общеобразовательных программ начального общего образования</t>
  </si>
  <si>
    <t>Количество детей от 6 лет 6 мес. до 10 лет</t>
  </si>
  <si>
    <t>Подпрограмма 2. «Общее и дополнительное образование детей»</t>
  </si>
  <si>
    <t>Наименование услуги и ее содержание: реализация основных общеобразовательных программ основного общего образования</t>
  </si>
  <si>
    <t>Количество детей с 11 до 15 лет</t>
  </si>
  <si>
    <t>Наименование услуги и ее содержание: реализация основных общеобразовательных программ среднего общего образования</t>
  </si>
  <si>
    <t>Количество детей с 16 до 18 лет</t>
  </si>
  <si>
    <t>Количество детей с 6 лет 6 мес. до 18 лет</t>
  </si>
  <si>
    <t>Подпрограмма  3 «Обеспечение безопасного качественного отдыха и оздоровления детей в период каникул»</t>
  </si>
  <si>
    <t>Наименование услуги и ее содержание:  реализация дополнительных общеобразовательных общеразвивающих программ</t>
  </si>
  <si>
    <t>Количество детей с 6 лет до 18 лет</t>
  </si>
  <si>
    <t>Наименование услуги и ее содержание: Услуга по организации предоставления психого-медико-педагогической помощи детям с ограниченными возможностями здоровья</t>
  </si>
  <si>
    <t>Количество детей от 0 до 18 лет</t>
  </si>
  <si>
    <t xml:space="preserve">Приложение № 1 
к Паспорту муниципальной программы  
 «Система образования города Дивногорска» </t>
  </si>
  <si>
    <t>Перечень целевых показателей и показателей результативности программы с расшифровкой плановых значений по годам ее реализации</t>
  </si>
  <si>
    <t>№ п/п</t>
  </si>
  <si>
    <t xml:space="preserve">Цели, задачи, показатели </t>
  </si>
  <si>
    <t>Единица измерения</t>
  </si>
  <si>
    <t xml:space="preserve">Вес показателя </t>
  </si>
  <si>
    <t>Источник информации</t>
  </si>
  <si>
    <t>2011 год</t>
  </si>
  <si>
    <t>Цель: обеспечение высокого качества образования, соответствующего потребностям граждан и перспективным задачам развития экономики Красноярского края, реализация мероприятий, направленных на развитие семейных форм воспитания детей-сирот, детей, оставшихся без попечения родителей, отдыха и оздоровления детей в период каникул</t>
  </si>
  <si>
    <t>Удельный вес численности населения в возрасте 5-18 лет, охваченного образованием, в общей численности населения в возрасте 5-18 лет по МО г. Дивногорск</t>
  </si>
  <si>
    <t>%</t>
  </si>
  <si>
    <t>Х</t>
  </si>
  <si>
    <t>Гос. стат. отчетность</t>
  </si>
  <si>
    <t>2</t>
  </si>
  <si>
    <t>Отношение численности детей в возрасте 3–7 лет, которым предоставлена возможность получать услуги дошкольного образования, к общей численности детей в возрасте от 3 до 7 лет, проживающих на территории г. Дивногорска (с учетом групп кратковременного пребывания)</t>
  </si>
  <si>
    <t>Ведомственная отчетность</t>
  </si>
  <si>
    <t>3</t>
  </si>
  <si>
    <t>Доля выпускников муниципальных общеобразовательных организаций г. Дивногорска, получивших аттестат о среднем образовании, в общей численности выпускников муниципальных общеобразовательных организаций</t>
  </si>
  <si>
    <t>4</t>
  </si>
  <si>
    <t>Доля муниципальных общеобразовательных организаций, соответствующих современным требованиям обучения, в общем количестве муниципальных общеобразовательных организаций г. Дивногорска</t>
  </si>
  <si>
    <t>Задача 1. создание в системе дошкольного образования равных возможностей для современного качественного образования, позитивной социализации и оздоровления детей</t>
  </si>
  <si>
    <t>Подпрограмма 1 «Дошкольное образование  детей»</t>
  </si>
  <si>
    <t>Обеспечить доступность дошкольного образования, соответствующего единому стандарту качества дошкольного образования</t>
  </si>
  <si>
    <t>1.1.1</t>
  </si>
  <si>
    <t>Обеспеченность детей дошкольного возраста местами в дошкольных образовательных учреждениях (количество мест на 1000 детей)</t>
  </si>
  <si>
    <t>ведомственная отчетность</t>
  </si>
  <si>
    <t>1.1.2</t>
  </si>
  <si>
    <t>Доля детей в возрасте от трех до семи лет, получающих дошкольную образовательную услугу и (или) услугу по их содержанию в организациях различной организационно-правовой формы и формы собственности, в общей численности детей от трех до семи лет</t>
  </si>
  <si>
    <t>1.1.3</t>
  </si>
  <si>
    <t>Удельный вес воспитанников дошкольных образовательных организаций г. Дивногорска, расположенных на территории города Дивногорска, обучающихся по программам, соответствующим требованиям стандартов дошкольного образования, в общей численности воспитанников дошкольных образовательных организаций, расположенных на территории города Дивногорска</t>
  </si>
  <si>
    <t>_</t>
  </si>
  <si>
    <t>1.1.4</t>
  </si>
  <si>
    <t xml:space="preserve">Удельный вес дошкольных образовательных организаций, в которых оценка их деятельности, а также их руководителей и основных категорий работников осуществляется на основании показателей эффективности деятельности подведомственных муниципальных дошкольных образовательных организаций </t>
  </si>
  <si>
    <t>25(3)</t>
  </si>
  <si>
    <t>80(10)</t>
  </si>
  <si>
    <t>Задача 2. обеспечение потребности населения в качественном доступном общем и дополнительном образовании.</t>
  </si>
  <si>
    <t xml:space="preserve">Подпрограмма 2 «Общее и дополнительное образование детей» </t>
  </si>
  <si>
    <t>Обеспечить создание  в общеобразовательных учреждениях города Дивногорска безопасных и комфортных условий, соответствующих требованиям надзорных органов</t>
  </si>
  <si>
    <t>2.1.1</t>
  </si>
  <si>
    <t>Доля муниципальных образовательных учреждений, в которых произведен выборочный капитальный ремонт зданий и сооружений</t>
  </si>
  <si>
    <t>-</t>
  </si>
  <si>
    <t>2.1.2</t>
  </si>
  <si>
    <t>Доля детей, охваченных горячим питанием в школах</t>
  </si>
  <si>
    <t>2.1.3</t>
  </si>
  <si>
    <t>Число дней пропусков занятий по болезни в расчете на одного ученика</t>
  </si>
  <si>
    <t>ед.</t>
  </si>
  <si>
    <t>2.1.4</t>
  </si>
  <si>
    <t>Отсутствие детского травматизма в урочное время</t>
  </si>
  <si>
    <t>2.1.5</t>
  </si>
  <si>
    <t>Увеличение числа автобусов, соответствующих требованиям безопасной и комфортной перевозки детей</t>
  </si>
  <si>
    <t>Создать условия для получения детьми качественного образования в общеобразовательных учреждениях, обеспечить мониторинг качества</t>
  </si>
  <si>
    <t>2.2.1</t>
  </si>
  <si>
    <t>Доля средних и основных общеобразовательных школ, в которых действуют управляющие советы</t>
  </si>
  <si>
    <t>2.2.2</t>
  </si>
  <si>
    <t>Доля педагогов, прошедших курсовую подготовку (не менее 1 раза в 5 лет), в том числе по ФГОС нового поколения</t>
  </si>
  <si>
    <t>2.2.3</t>
  </si>
  <si>
    <t>Доля учителей государственных (муниципальных) общеобразовательных учреждений, имеющих стаж педагогической работы до 5 лет, в общей численности учителей государственных (муниципальных) общеобразовательных учреждений</t>
  </si>
  <si>
    <t>2.2.4</t>
  </si>
  <si>
    <t>Доля обучающихся в государственных (муниципальных) общеобразовательных организациях, занимающихся во вторую (третью) смену, в общей численности обучающихся в государственных (муниципальных)  общеобразовательных организаций</t>
  </si>
  <si>
    <t>2.2.5</t>
  </si>
  <si>
    <t xml:space="preserve">Доля  обучающихся общеобразовательных учреждений, охваченных психолого-педагогической и медико-социальной помощью, от общей численности  обучающихся общеобразовательных учреждений </t>
  </si>
  <si>
    <t>2.2.6</t>
  </si>
  <si>
    <t>Доля выпускников муниципальных общеобразовательных организаций, не сдавших единый государственный экзамен, в общей численности выпускников государственных (муниципальных) общеобразовательных организаций и не получивших аттестат о среднем образовании</t>
  </si>
  <si>
    <t>2.2.7</t>
  </si>
  <si>
    <t>Доля выпускников 9-х классов, успешно прошедших государственную итоговую аттестацию,  осуществляемую внешними экзаменационными комиссиями по русскому языку</t>
  </si>
  <si>
    <t>2.2.8</t>
  </si>
  <si>
    <t>Доля выпускников 9-х классов, успешно прошедших государственную итоговую аттестацию,  осуществляемую внешними экзаменационными комиссиями по математике</t>
  </si>
  <si>
    <t>2.2.9</t>
  </si>
  <si>
    <t>Доля учащихся, принимающих участие в итоговых контрольных работах по русскому языку и математике в 4-х классах</t>
  </si>
  <si>
    <t>2.2.10</t>
  </si>
  <si>
    <t>Доля детей с ограниченными возможностями здоровья и детей-инвалидов, получающихся качественное общее образование с использованием современного оборудования ( в том числе с использованием дистанционных образовательных технологий), от общей численности детей с ограниченными возможностями здоровья и детей-инвалидов школьного возраста</t>
  </si>
  <si>
    <t>Создать условия для получения детьми качественного дополнительного образования, выявления и поддержки  одаренных детей</t>
  </si>
  <si>
    <t>2.3.1</t>
  </si>
  <si>
    <t>Удельный вес численности детей, получающих услуги дополнительного образования, в общей численности детей в возрасте 7–18 лет</t>
  </si>
  <si>
    <t>2.3.2</t>
  </si>
  <si>
    <r>
      <t>Доля школьников, привлеченных к участию в спортивно-массовых мероприятиях</t>
    </r>
    <r>
      <rPr>
        <i/>
        <sz val="11"/>
        <rFont val="Times New Roman"/>
        <family val="1"/>
        <charset val="204"/>
      </rPr>
      <t xml:space="preserve"> </t>
    </r>
  </si>
  <si>
    <t>2.3.3</t>
  </si>
  <si>
    <t>Доля школьников 5-11 классов, включенных в учебно-исследовательскую, проектную деятельность к общему числу этой категории</t>
  </si>
  <si>
    <t>Содействовать выявлению и поддержке одаренных детей</t>
  </si>
  <si>
    <t>2.4.1</t>
  </si>
  <si>
    <t xml:space="preserve">Удельный вес численности обучающихся по программам общего образования, участвующих в олимпиадах и конкурсах различного уровня, 
в общей численности обучающихся по программам общего образования
</t>
  </si>
  <si>
    <t>Задача 3. Создание равных возможностей и условий для современного качественного образования, позитивной социализации и оздоровления детей в период каникул</t>
  </si>
  <si>
    <t>Подпрограмма 3 «Обеспечение безопасного качественного отдыха и оздоровления детей в период каникул»</t>
  </si>
  <si>
    <t>Обеспечить безопасный, комфортный и качественный отдых в летний период</t>
  </si>
  <si>
    <t>3.1.1</t>
  </si>
  <si>
    <t>Доля оздоровленных детей школьного возраста</t>
  </si>
  <si>
    <t xml:space="preserve">Обеспечить организацию и проведение мероприятий для детей и молодежи по направлениям (нравственно-патриотическое, спортивно-оздоровительное, социальное) </t>
  </si>
  <si>
    <t>3.2.1</t>
  </si>
  <si>
    <t>Доля детей школьного возраста, вовлеченных в городские массовые мероприятия от общего числа детей школьного возраста</t>
  </si>
  <si>
    <t>3.2.2</t>
  </si>
  <si>
    <t>Доля детей (6-14 лет), состоящих на учете в ОУУПи ДН, вовлеченных в городские массовые мероприятия, от общего числа детей состоящих на учете в ОУУПи ДН, данного возраста</t>
  </si>
  <si>
    <t>Задача 4. Создание условий для эффективного управления отраслью</t>
  </si>
  <si>
    <t>Подпрограмма 4 «Обеспечение реализации муниципальной программы и прочие мероприятия в области образования»</t>
  </si>
  <si>
    <t>Организация деятельности отдела образования, учреждений, обеспечивающих деятельность образовательных учреждений, направленной на эффективное управление отраслью</t>
  </si>
  <si>
    <t>4.1.1</t>
  </si>
  <si>
    <t>Фактические расходы на материальное обеспечение образовательного процесса на одного учащегося</t>
  </si>
  <si>
    <t>руб</t>
  </si>
  <si>
    <t>4.1.2.</t>
  </si>
  <si>
    <t>Среднемесячная номинальная начисленная заработная плата учителей муниципальных общеобразовательных учреждений</t>
  </si>
  <si>
    <t>4.1.3.</t>
  </si>
  <si>
    <t>Среднемесячная номинальная начисленная заработная плата прочего персонала (административно-управленческого, учебно-вспомогательного, младшего обслуживающего персонала, а также, педагогических работников, не осуществляющих учебный процесс)</t>
  </si>
  <si>
    <t>4.1.4.</t>
  </si>
  <si>
    <t>Средняя наполняемость классов в городских школах</t>
  </si>
  <si>
    <t>человек</t>
  </si>
  <si>
    <t>4.1.5.</t>
  </si>
  <si>
    <t>Средняя наполняемость классов в сельской школе</t>
  </si>
  <si>
    <t>4.1.6.</t>
  </si>
  <si>
    <t>Соотношение численности учителей (среднегодовой) государственных (муниципальных) общеобразовательных учреждений и численности прочего персонала (среднегодовой) (административно-управленческого, учебно-вспомогательного, младшего обслуживающего персонала, а также педагогических работников, не осуществляющих учебный процесс)</t>
  </si>
  <si>
    <t>доля</t>
  </si>
  <si>
    <t>4.1.7.</t>
  </si>
  <si>
    <t>Количество проведенных в соответствии с законодательством процедур проверок</t>
  </si>
  <si>
    <t>4.1.8.</t>
  </si>
  <si>
    <r>
      <t xml:space="preserve">Своевременное доведение  распорядителем лимитов бюджетных обязательств до подведомственных учреждений, предусмотренных решением о бюджете за отчетный год  </t>
    </r>
    <r>
      <rPr>
        <i/>
        <sz val="12"/>
        <rFont val="Times New Roman"/>
        <family val="1"/>
        <charset val="204"/>
      </rPr>
      <t>(Отдел образования администрации города, МСКУ "МЦБ")</t>
    </r>
    <r>
      <rPr>
        <sz val="12"/>
        <rFont val="Times New Roman"/>
        <family val="1"/>
        <charset val="204"/>
      </rPr>
      <t xml:space="preserve">
</t>
    </r>
  </si>
  <si>
    <t>балл</t>
  </si>
  <si>
    <t>Финансовое управление администрации города Дивногорска</t>
  </si>
  <si>
    <t>4.1.9.</t>
  </si>
  <si>
    <r>
      <t xml:space="preserve">Соблюдение сроков предоставления  бюджетной отчетности </t>
    </r>
    <r>
      <rPr>
        <i/>
        <sz val="12"/>
        <rFont val="Times New Roman"/>
        <family val="1"/>
        <charset val="204"/>
      </rPr>
      <t>(МСКУ "МЦБ")</t>
    </r>
  </si>
  <si>
    <t>4.1.10.</t>
  </si>
  <si>
    <r>
      <t xml:space="preserve">Своевременность  утверждения муниципальных заданий  подведомственным  распорядителю учреждениям на текущий финансовый год и плановый период в срок, установленный в Положении о порядке и условиях формирования муниципального задания в отношении муниципальных учреждений, финансового обеспечения и оценки выполнения муниципального задания, утвержденного Постановлением администрации города Дивногорска от 24.12.2012 N 264п </t>
    </r>
    <r>
      <rPr>
        <i/>
        <sz val="12"/>
        <rFont val="Times New Roman"/>
        <family val="1"/>
        <charset val="204"/>
      </rPr>
      <t>(Отдел образования администрации города, МСКУ "МЦБ")</t>
    </r>
  </si>
  <si>
    <t>4.1.11.</t>
  </si>
  <si>
    <r>
      <t xml:space="preserve">Своевременность утверждения планов финансово-хозяйственной деятельности подведомственных распорядителю учреждений на текущий финансовый год и плановый период в соответствии со  сроками, утвержденными органами исполнительной власти Красноярского края, осуществляющими функции и полномочия учредителя </t>
    </r>
    <r>
      <rPr>
        <i/>
        <sz val="12"/>
        <rFont val="Times New Roman"/>
        <family val="1"/>
        <charset val="204"/>
      </rPr>
      <t>(Отдел образования администрации города, МСКУ "МЦБ")</t>
    </r>
  </si>
  <si>
    <t>4.1.12.</t>
  </si>
  <si>
    <t xml:space="preserve">Своевременность предоставления уточненного фрагмента реестра расходных обязательств распорядителя (МСКУ "МЦБ")
</t>
  </si>
  <si>
    <t>4.1.13.</t>
  </si>
  <si>
    <t>Уровень исполнения расходов распорядителя за счет средств местного бюджета (без учета межбюджетных трансфертов)(Отдел образования администрации города, МСКУ "МЦБ")</t>
  </si>
  <si>
    <t>4.1.14.</t>
  </si>
  <si>
    <t>Доля исполненных бюджетных ассигнований, предусмотренных в программном виде (Отдел образования администрации города, МСКУ "МЦБ")</t>
  </si>
  <si>
    <t>4.1.15</t>
  </si>
  <si>
    <t>Качество порядка составления, утверждения и ведения бюдетных смет и ПФХД обслуживаемых учреждений (МСКУ "МЦБ")</t>
  </si>
  <si>
    <t>4.1.16.</t>
  </si>
  <si>
    <t>Оценка качества планирования бюджетных ассигнований (МСКУ "МЦБ")</t>
  </si>
  <si>
    <t>4.1.17.</t>
  </si>
  <si>
    <t>Наличие у распорядителя и обслуживаемых учреждений просроченной кредиторской задолженности и нереальной к взысканию дебиторской задолженности (МСКУ "МЦБ")</t>
  </si>
  <si>
    <t>4.1.18.</t>
  </si>
  <si>
    <t>Отсутствие нарушений бюджетного законадательства, выявленных в ходе проведения внешних контрольных мероприятий в отчетном финансовом году (Отдел образования администрации города, МСКУ "МЦБ")</t>
  </si>
  <si>
    <t>Обеспечить реализацию мероприятий, направленных на развитие семейных форм воспитания детей-сирот и детей, оставшихся без попечения родителей</t>
  </si>
  <si>
    <t>4.2.1.</t>
  </si>
  <si>
    <t>Численность детей, оставшихся без попечения родителей, переданных на воспитание в замещающие семьи (опека, приемная семья, усыновление), в том числе   переданных на воспитание в семьи посторонних граждан.</t>
  </si>
  <si>
    <t>4.2.2.</t>
  </si>
  <si>
    <t>Количество детей-сирот и детей, оставшихся без попечения родителей, лиц из числа детей-сирот и детей, оставшихся без попечения родителей, не имеющих закрепленного жилого помещения, в том числе поставленных на учет на получение жилого помещения в министерстве образования и науки Красноярского края, включая лиц в возрасте от 23 лет и старше, обеспеченных жилыми помещениями за отчетный год</t>
  </si>
  <si>
    <t>чел.</t>
  </si>
  <si>
    <t>127(6)</t>
  </si>
  <si>
    <t>125(5)</t>
  </si>
  <si>
    <t>123(7)</t>
  </si>
  <si>
    <t>85(57)</t>
  </si>
  <si>
    <t>87(59)</t>
  </si>
  <si>
    <t>87(55)</t>
  </si>
  <si>
    <t>89(57)</t>
  </si>
  <si>
    <t xml:space="preserve">Приложение № 2
к Паспорту муниципальной программы  
 «Система образования города Дивногорска» </t>
  </si>
  <si>
    <t>Значение целевых показателей на долгосрочный период</t>
  </si>
  <si>
    <t>Цели, целевые показатели</t>
  </si>
  <si>
    <t>2010 год</t>
  </si>
  <si>
    <t>2012 год</t>
  </si>
  <si>
    <t>2013 год</t>
  </si>
  <si>
    <t>плановый период</t>
  </si>
  <si>
    <t>долгосрочный период</t>
  </si>
  <si>
    <t>2023 год</t>
  </si>
  <si>
    <t>ю</t>
  </si>
  <si>
    <t>Приложение № 1 
к Паспорту  подпрограммы 1 «Дошкольное образование  детей»</t>
  </si>
  <si>
    <t>Перечень целевых индикаторов подпрограммы</t>
  </si>
  <si>
    <t>Цель, целевые индикаторы</t>
  </si>
  <si>
    <t>Цель: создание в системе дошкольного образования равных возможностей для современного качественного образования, позитивной социализации и оздоровления детей</t>
  </si>
  <si>
    <t>Задача № 1 Обеспечить доступность дошкольного образования, соответствующего единому стандарту качества дошкольного образования</t>
  </si>
  <si>
    <t>1.1</t>
  </si>
  <si>
    <t>1.2</t>
  </si>
  <si>
    <t>1.3</t>
  </si>
  <si>
    <t>Удельный вес воспитанников дошкольных образовательных организаций, расположенных на территории города Дивногорска, обучающихся по программам, соответствующим требованиям стандартов дошкольного образования, в общей численности воспитанников дошкольных образовательных организаций, расположенных на территории города Дивногорска</t>
  </si>
  <si>
    <t>1.4</t>
  </si>
  <si>
    <r>
      <t xml:space="preserve">Удельный вес дошкольных образовательных организаций, в которых оценка их деятельности, а также их руководителей и основных категорий работников осуществляется на основании показателей эффективности деятельности подведомственных муниципальных дошкольных образовательных организаций </t>
    </r>
    <r>
      <rPr>
        <sz val="12"/>
        <color indexed="10"/>
        <rFont val="Times New Roman"/>
        <family val="1"/>
        <charset val="204"/>
      </rPr>
      <t>(попробуйте изменить формулировку, чтобы было общее понимание, что мониторим)</t>
    </r>
  </si>
  <si>
    <t>Г.В. Кабацура</t>
  </si>
  <si>
    <t>Приложение № 2
к Паспорту  подпрограммы 1 «Дошкольное образование детей»</t>
  </si>
  <si>
    <t>Перечень мероприятий подпрограммы с указанием объема средств на их реализацию и ожидаемых результатов</t>
  </si>
  <si>
    <t xml:space="preserve">Цели, задачи, мероприятия </t>
  </si>
  <si>
    <t>Ожидаемый результат от реализации подпрограммного мероприятия 
(в натуральном выражении)</t>
  </si>
  <si>
    <t>Обеспечение функционирования и  развития учреждений, обеспечивающих получение дошкольного образования в дошкольных образовательных учреждениях</t>
  </si>
  <si>
    <t>отдел образования администрации города Дивногорска</t>
  </si>
  <si>
    <t>0701</t>
  </si>
  <si>
    <t>0110080610</t>
  </si>
  <si>
    <t>611</t>
  </si>
  <si>
    <t>1726 детей получат услуги дошкольного образования</t>
  </si>
  <si>
    <t>612</t>
  </si>
  <si>
    <t>621</t>
  </si>
  <si>
    <t>622</t>
  </si>
  <si>
    <t>0110080710</t>
  </si>
  <si>
    <t>01100L0271</t>
  </si>
  <si>
    <t>01100S3980</t>
  </si>
  <si>
    <t>Обеспечение функционирования и  развития учреждений, обеспечивающих получение дошкольного образования в дошкольных образовательных учреждениях(кр.б.)</t>
  </si>
  <si>
    <t xml:space="preserve">975 </t>
  </si>
  <si>
    <t>0110073980</t>
  </si>
  <si>
    <t>0110075880</t>
  </si>
  <si>
    <t>870</t>
  </si>
  <si>
    <t>0110074080</t>
  </si>
  <si>
    <t>011001047А, 0110010230, 0110010490</t>
  </si>
  <si>
    <t>011001047Б, 0110010230, 0110010490</t>
  </si>
  <si>
    <t>0110077440</t>
  </si>
  <si>
    <t>011022</t>
  </si>
  <si>
    <t>Обеспечение функционирования и  развития учреждений, обеспечивающих получение дошкольного образования в дошкольных образовательных учреждениях (род.плата)</t>
  </si>
  <si>
    <t>Приведение муниципальных образовательных учреждений в соответствие требованиям правил пожарной безопасности, строительным нормам и правилам, санитарным нормам и правилам (кр.бюджет)</t>
  </si>
  <si>
    <t>0117746</t>
  </si>
  <si>
    <t>12 зданий ДОУ соответствуют требованиям правил пожарной безопасности, строительным нормам и правилам, санитарным нормам и правилам</t>
  </si>
  <si>
    <t>0117744</t>
  </si>
  <si>
    <t>0110077450</t>
  </si>
  <si>
    <t>Приведение муниципальных образовательных учреждений в соответствие требованиям правил пожарной безопасности, строительным нормам и правилам, санитарным нормам и правилам (местный бюджет)</t>
  </si>
  <si>
    <t>0118746</t>
  </si>
  <si>
    <t xml:space="preserve">Финансирование (возмещение) расходов на выплаты воспитателям в муниципальных образовательных учреждениях, реализующих основную общеобразовательную программу дошкольного образования детей, </t>
  </si>
  <si>
    <t>01100S5580</t>
  </si>
  <si>
    <t>Выплата компенсации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 детей</t>
  </si>
  <si>
    <t>1004</t>
  </si>
  <si>
    <t>0110075560</t>
  </si>
  <si>
    <t>320</t>
  </si>
  <si>
    <t xml:space="preserve">Компенсацию части родительской платы получат в 2017 году 742 человека
</t>
  </si>
  <si>
    <t>244</t>
  </si>
  <si>
    <t>1.1.5</t>
  </si>
  <si>
    <t xml:space="preserve">Обеспечение содержания в муниципальных дошкольных образовательных учреждениях (группах) детей без взимания родительской платы </t>
  </si>
  <si>
    <t>0110075540</t>
  </si>
  <si>
    <t xml:space="preserve">В 3 ДОУ города содержится  43 детей без взимания родительской платы </t>
  </si>
  <si>
    <t>1.1.6</t>
  </si>
  <si>
    <t>Создание дополнительных мест в системе дошкольного образования детей (кр.б.)</t>
  </si>
  <si>
    <t>0117421</t>
  </si>
  <si>
    <t xml:space="preserve">Введено  135 дополнительных  мест для детей дошкольного возраста, в том  числе по годам:    
2014 - 84 мест;   
2015 - 51 мест    
</t>
  </si>
  <si>
    <t>0115059</t>
  </si>
  <si>
    <t>1.1.7</t>
  </si>
  <si>
    <t>Создание дополнительных мест в системе дошкольного образования детей (м.б.)</t>
  </si>
  <si>
    <t>0118421</t>
  </si>
  <si>
    <t>1.1.8</t>
  </si>
  <si>
    <t xml:space="preserve">Участие в краевом конкурсе "Детские сады-детям". Получение субсидии  бюджету муниципального образования г.Дивногорск на денежное поощрение детским садам-победителям конкурса </t>
  </si>
  <si>
    <t>0118099</t>
  </si>
  <si>
    <t>Участие в конкурсе на получение денежных премий лучшими воспитателями образовательных учреждений, реализующих основную общеобразовательную программу дошкольного образования,  денежных премий лучшим детским садам, денежных премий лучшим педагогическим коллективам детских садов.</t>
  </si>
  <si>
    <t>1.1.9</t>
  </si>
  <si>
    <t xml:space="preserve">Проведение мероприятий для дошкольников различной направленности (интеллектуальной, творческой, спортивной) </t>
  </si>
  <si>
    <t>0707</t>
  </si>
  <si>
    <t>0118811</t>
  </si>
  <si>
    <t xml:space="preserve">Ежегодно на муниципальном уровне проводится 3 мероприятия, с общим числом участников не менее 1000 человек </t>
  </si>
  <si>
    <t>Итого по задаче 1</t>
  </si>
  <si>
    <t>Всего по подпрограмме, в том числе:</t>
  </si>
  <si>
    <t>краевой бюджет</t>
  </si>
  <si>
    <t>местный бюджет</t>
  </si>
  <si>
    <t>внебюджет</t>
  </si>
  <si>
    <t>Приложение № 1 
к Паспорту  подпрограммы 2 «Общее и дополнительное образование детей»</t>
  </si>
  <si>
    <t>Цель:обеспечение потребности населения в качественном доступном общем и дополнительном образовании.</t>
  </si>
  <si>
    <t xml:space="preserve">Задача № 1 Создать безопасные и комфортные условия, соответствующие требованиям надзорных органов, в общеобразовательных учреждениях города Дивногорска. </t>
  </si>
  <si>
    <t>Доля образовательных учреждений, в которых произведен выборочный капитальный ремонт зданий и сооружений</t>
  </si>
  <si>
    <t>1.5</t>
  </si>
  <si>
    <t>Задача № 2. Создать условия для получения детьми качественного образования в общеобразовательных учреждениях, обеспечить мониторинг качества.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</si>
  <si>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</si>
  <si>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</si>
  <si>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</si>
  <si>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</si>
  <si>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</si>
  <si>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</si>
  <si>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</si>
  <si>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</si>
  <si>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</si>
  <si>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</si>
  <si>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Задача № 3. Создать условия для получения детьми качественного дополнительного образования, выявления и поддержки  одаренных детей</t>
  </si>
  <si>
    <t>3.1</t>
  </si>
  <si>
    <t>3.2</t>
  </si>
  <si>
    <r>
      <t>Доля школьников, привлеченных к участию в спортивных и культурно-массовых мероприятиях</t>
    </r>
    <r>
      <rPr>
        <i/>
        <sz val="11"/>
        <rFont val="Times New Roman"/>
        <family val="1"/>
        <charset val="204"/>
      </rPr>
      <t xml:space="preserve"> </t>
    </r>
    <r>
      <rPr>
        <i/>
        <sz val="11"/>
        <color indexed="10"/>
        <rFont val="Times New Roman"/>
        <family val="1"/>
        <charset val="204"/>
      </rPr>
      <t/>
    </r>
  </si>
  <si>
    <t>3.3</t>
  </si>
  <si>
    <t>Удельный вес численности обучающихся по программам общего образования, участвующих в олимпиадах и конкурсах различного уровня, в общей численности обучающихся по программам общего образования</t>
  </si>
  <si>
    <t>3.4</t>
  </si>
  <si>
    <t>Задача № 4.  Обеспечение функционирования системы персонифицированного финансирования, обеспечивающей свободу выбора образовательных программ, равенство доступа к дополнительному образованию.</t>
  </si>
  <si>
    <t>4.1</t>
  </si>
  <si>
    <t>Доля детей в возрасте от 5 до 18 лет, имеющих право на получение дополнительного образования в рамках системы персонифицированного финансирования в общей численности детей в возрасте от 5 до 18 лет</t>
  </si>
  <si>
    <t>Приложение № 2
к Паспорту  подпрограммы 2 «Общее и дополнительное образование детей»</t>
  </si>
  <si>
    <t>Цель: обеспечение потребности населения в качественном доступном общем и дополнительном образовании.</t>
  </si>
  <si>
    <t>Приведение муниципальных общеобразовательных учреждений в соответствие требованиям правил пожарной безопасности, строительным нормам и правилам, санитарным нормам и правилам (кр.б.)</t>
  </si>
  <si>
    <t>0702</t>
  </si>
  <si>
    <t>0127744</t>
  </si>
  <si>
    <t>612,622,244</t>
  </si>
  <si>
    <t>87,5% общеобразовательных организаций соответствуют требованиям действующего законодательства (ППБ 01-03, СанПиН, СНиП), от общего числа школ</t>
  </si>
  <si>
    <t>Подготовка образовательных учреждений к новому учебному году</t>
  </si>
  <si>
    <t>0120080610</t>
  </si>
  <si>
    <t>7 общеобразовательных учреждений и 2 учреждения дополнительного образования приняты муниципальной комиссией к началу нового учебного года</t>
  </si>
  <si>
    <t>0120075630</t>
  </si>
  <si>
    <t>01200S5630</t>
  </si>
  <si>
    <t>012E274300</t>
  </si>
  <si>
    <t>0120078400</t>
  </si>
  <si>
    <t>622,612</t>
  </si>
  <si>
    <t>01200S8400</t>
  </si>
  <si>
    <t>0120088130</t>
  </si>
  <si>
    <t>Обеспечение питанием детей из малообеспеченных семей, обучающихся в муниципальных общеобразовательных учреждениях</t>
  </si>
  <si>
    <t>1003</t>
  </si>
  <si>
    <t>0120075660</t>
  </si>
  <si>
    <t>100% детей из малообеспеченных семей, обучающихся в муниципальных общеобразовательных учреждениях опеспечены горячим питанием</t>
  </si>
  <si>
    <t>0703</t>
  </si>
  <si>
    <t>0120053040</t>
  </si>
  <si>
    <t>0120089150</t>
  </si>
  <si>
    <t>Cубсидия на проведение мероприятий по формированию сети общеобразовательных организаций, в которых созданы условия для инклюзивного образования детей-инвалидов</t>
  </si>
  <si>
    <t>0125027</t>
  </si>
  <si>
    <t>Софинансирование субсидии на проведение мероприятий по формированию сети общеобразовательных организаций, в которых созданы условия для инклюзивного образования детей-инвалидов</t>
  </si>
  <si>
    <t>0128027</t>
  </si>
  <si>
    <t>2.1.6</t>
  </si>
  <si>
    <t>Расходы на проведение мероприятий, направленных на обеспечение безопасного участия детей в дорожном движении</t>
  </si>
  <si>
    <t>012R373980</t>
  </si>
  <si>
    <t>612,622</t>
  </si>
  <si>
    <t>конкурсная основа участия</t>
  </si>
  <si>
    <t>2.1.7</t>
  </si>
  <si>
    <t>Софинансирование расходов на проведение мероприятий, направленных на обеспечение безопасного участия детей в дорожном движении</t>
  </si>
  <si>
    <t>01200S3980</t>
  </si>
  <si>
    <t>2.1.8</t>
  </si>
  <si>
    <t>расходы на внедрение целевой модели образовательной среды (краевой бюджет)</t>
  </si>
  <si>
    <t>012E452100</t>
  </si>
  <si>
    <t>2.1.9</t>
  </si>
  <si>
    <t>расходы на внедрение целевой модели образовательной среды (местный бюджет)</t>
  </si>
  <si>
    <t>2.1.10</t>
  </si>
  <si>
    <t>расходы на создание (обовление) МБТ для реализации основных и дополнитедльных прогграмм цифрового и гуманитарного профилей (краевой бюджет)</t>
  </si>
  <si>
    <t>012Е151690,    0120015980</t>
  </si>
  <si>
    <t>2.1.11</t>
  </si>
  <si>
    <t>расходы на создание (обовление) МБТ для реализации основных и дополнитедльных прогграмм цифрового и гуманитарного профилей (местный бюджет)</t>
  </si>
  <si>
    <t>012Е151690,    01200S5980</t>
  </si>
  <si>
    <t>2.1.12</t>
  </si>
  <si>
    <t>012Е151690</t>
  </si>
  <si>
    <t>2.1.13</t>
  </si>
  <si>
    <t>Расходы на  устройство плоскостных спортивных сооружений (МБОУ СОШ № 9)</t>
  </si>
  <si>
    <t>0120074200</t>
  </si>
  <si>
    <t>Софинансирование расходов на  устройство плоскостных спортивных сооружений (МБОУ СОШ № 9)</t>
  </si>
  <si>
    <t>01200S4200</t>
  </si>
  <si>
    <t>2.1.14</t>
  </si>
  <si>
    <t>Расходы, направленные на развитие и повышение качества работы муниципальных учреждений, предоставление новых муниципальных услуг, повышение их качества(замена оконных заполнений в обеденном зале МБОУ СОШ № 5) краевой бюджет</t>
  </si>
  <si>
    <t>2.1.15</t>
  </si>
  <si>
    <t>Софинансирование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 (замена оконных заполнений в обеденном зале МБОУ СОШ № 5) местный бюджет</t>
  </si>
  <si>
    <t>2.1.16</t>
  </si>
  <si>
    <t xml:space="preserve">Расходы муниципальных учреждений за содействие развитию налогового потенциала </t>
  </si>
  <si>
    <t>0120077450</t>
  </si>
  <si>
    <t>Финансирование расходов, необходимых на реализацию основных общеобразовательных программ муниципальными общеобразовательными учреждениями (местный бюджет)</t>
  </si>
  <si>
    <t>ежегодно более 3000  человек получат услуги общего образования</t>
  </si>
  <si>
    <t>0120080710</t>
  </si>
  <si>
    <t>0128072</t>
  </si>
  <si>
    <t>0128081</t>
  </si>
  <si>
    <t>01200S031P</t>
  </si>
  <si>
    <t>01200S031M</t>
  </si>
  <si>
    <t>0128082</t>
  </si>
  <si>
    <t>0120053030</t>
  </si>
  <si>
    <t>Финансирование расходов, необходимых на реализацию основных общеобразовательных программ муниципальными общеобразовательными учреждениями (краевой бюджет)</t>
  </si>
  <si>
    <t>0120075640</t>
  </si>
  <si>
    <t>110,               300</t>
  </si>
  <si>
    <t>0121022</t>
  </si>
  <si>
    <t>0120074090</t>
  </si>
  <si>
    <t>012001047А, 012001038А, 0120010490</t>
  </si>
  <si>
    <t>012001047Б, 012001038А, 0120010490</t>
  </si>
  <si>
    <t>0120010230</t>
  </si>
  <si>
    <t>012001047К</t>
  </si>
  <si>
    <t>Финансирование расходов, необходимых на реализацию основных общеобразовательных программ муниципальными общеобразовательными учреждениями (внебюджет)</t>
  </si>
  <si>
    <r>
      <t xml:space="preserve">Реализация приоритетного национального проекта «Образование»  в части выплаты вознаграждения за классное руководство в муниципальных общеобразовательных учреждениях, </t>
    </r>
    <r>
      <rPr>
        <sz val="12"/>
        <color indexed="60"/>
        <rFont val="Times New Roman"/>
        <family val="1"/>
        <charset val="204"/>
      </rPr>
      <t>икключить</t>
    </r>
  </si>
  <si>
    <r>
      <rPr>
        <sz val="12"/>
        <color indexed="10"/>
        <rFont val="Times New Roman"/>
        <family val="1"/>
        <charset val="204"/>
      </rPr>
      <t>Разве классным руководителям не платят из краевого бюджета???</t>
    </r>
    <r>
      <rPr>
        <sz val="12"/>
        <rFont val="Times New Roman"/>
        <family val="1"/>
        <charset val="204"/>
      </rPr>
      <t xml:space="preserve"> 120 человек ежегодно будут получать ежемесячное вознаграждение за счет средств краевого бюджета</t>
    </r>
  </si>
  <si>
    <t>Обеспечение функционирования и  развития учреждения, обеспечивающего  организацию повышения квалификации кадров, мониторинга качества образования, организацию проведения государственной итоговой аттестации (МКУ ГИМЦ)</t>
  </si>
  <si>
    <t>0709</t>
  </si>
  <si>
    <r>
      <rPr>
        <sz val="12"/>
        <color indexed="10"/>
        <rFont val="Times New Roman"/>
        <family val="1"/>
        <charset val="204"/>
      </rPr>
      <t>Финансирование ГИМЦ прописано в 4й программе, думаю, здесь надо исключить эту позицию</t>
    </r>
    <r>
      <rPr>
        <sz val="12"/>
        <rFont val="Times New Roman"/>
        <family val="1"/>
        <charset val="204"/>
      </rPr>
      <t>. ежегодно 250 педагогов повышают квалификацию, проведены 20 мероприятий с численностью участников 1600 человек, функционируют не менее 15 различных форм педагогических объединений; обеспечение мониторинга качества образования, а также проведение государственной итоговой аттестации выпускников общеобразовательных учреждений в установленные сроки</t>
    </r>
  </si>
  <si>
    <t>Организация муниципальных профессиональных конкурсов  (премии призерам и победителям)</t>
  </si>
  <si>
    <t>Из сметы ГИМЦ (360 вид расхода)</t>
  </si>
  <si>
    <t>Распространение современных организационно-правовых моделей, обеспечивающих успешную социализацию детей с ограниченными возможностями здоровья и детей-инвалидов</t>
  </si>
  <si>
    <t>Ожидаются федеральные средства</t>
  </si>
  <si>
    <t>Софинансирование ФЦПРО</t>
  </si>
  <si>
    <t>ФМО 5210212</t>
  </si>
  <si>
    <t>строки необходимо оставить, т.к. на эти мероприятия были заявки на получение средств</t>
  </si>
  <si>
    <r>
      <t xml:space="preserve">Организация и проведение учебно-полевых сборов для учащихся (мальчиков) 10-х классов школ города Дивногорска </t>
    </r>
    <r>
      <rPr>
        <sz val="12"/>
        <color indexed="10"/>
        <rFont val="Times New Roman"/>
        <family val="1"/>
        <charset val="204"/>
      </rPr>
      <t xml:space="preserve"> (ТАНЯ! НАДО ПЕРЕНЕСТИ ДЕНЬГИ по 2014 и 2015 годам в раздел по реализации общеобраз. Программ. А пункт этот вообще убрать</t>
    </r>
  </si>
  <si>
    <t>Отдел образования администрации города Дивногорска (МКУ О(С)ОШ №1)</t>
  </si>
  <si>
    <t>0128061</t>
  </si>
  <si>
    <t>деньги перенесла в финансирование расходов, необходимых на реализацию основных общеобразовательных программ муниципальными общеобразовательными учреждениями (местный бюджет)</t>
  </si>
  <si>
    <t xml:space="preserve">Оборудование военно-спортивной полосы препятствий </t>
  </si>
  <si>
    <r>
      <rPr>
        <sz val="12"/>
        <color indexed="10"/>
        <rFont val="Times New Roman"/>
        <family val="1"/>
        <charset val="204"/>
      </rPr>
      <t>ДУМАЮ, ЭТО УЖЕ СДЕЛАНО и НАДО ИСКЛЮЧИТЬ?</t>
    </r>
    <r>
      <rPr>
        <sz val="12"/>
        <rFont val="Times New Roman"/>
        <family val="1"/>
        <charset val="204"/>
      </rPr>
      <t xml:space="preserve"> 87 учащихся 7 школ города изучают курс НВП и ОБЖ, 350 учащихся проходят подготовку к проведению спортивных соревнований</t>
    </r>
  </si>
  <si>
    <t>Итого по задаче 2</t>
  </si>
  <si>
    <t>3.3.1</t>
  </si>
  <si>
    <t>Обеспечение развития и стабильного функционирования муниципальных учреждений дополнительного образования детей(местный бюджет)</t>
  </si>
  <si>
    <t>0120080620</t>
  </si>
  <si>
    <t>В учреждениях дополнительного образования  дополнительным образованием охвачено до 93% от общего количества детей возраста от 7 до 18 лет</t>
  </si>
  <si>
    <t>01200S031М</t>
  </si>
  <si>
    <t>0120010420</t>
  </si>
  <si>
    <t>0120010480</t>
  </si>
  <si>
    <t>012001036U</t>
  </si>
  <si>
    <t>01200R0271</t>
  </si>
  <si>
    <t>01200S0271</t>
  </si>
  <si>
    <t>0120010370</t>
  </si>
  <si>
    <t>Обеспечение развития и стабильного функционирования муниципальных учреждений дополнительного образования детей (внебюджет)</t>
  </si>
  <si>
    <t>3.3.2</t>
  </si>
  <si>
    <t xml:space="preserve">Проведение мероприятий интеллектуальной направленности </t>
  </si>
  <si>
    <t>Отдел образования администрации города Дивногорска МКУ ГИМЦ</t>
  </si>
  <si>
    <r>
      <rPr>
        <sz val="12"/>
        <color indexed="1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Проведено 3 мероприятия с общей численностью участников не менее 500 человек. Ежегодно не менее 40 учащихся общеобразовательных   учреждений подготовлены к региональному этапу всероссийской олимпиады школьников, не менее 20 школьников образовательных учреждений приняли участие во всероссийских научно-практических конференциях и других мероприятиях интеллектуальной направленности регионального и ферального уровней</t>
    </r>
  </si>
  <si>
    <t>3.3.3</t>
  </si>
  <si>
    <t xml:space="preserve">Проведение мероприятий творческой направленности </t>
  </si>
  <si>
    <t>0128811</t>
  </si>
  <si>
    <t xml:space="preserve">Проведено 5 мероприятий с общей численностью  участников свыше 1000 человек. </t>
  </si>
  <si>
    <t>3.3.4</t>
  </si>
  <si>
    <t xml:space="preserve">Индивидуальное сопровождение победителей и призеров муниципального этапа всероссийской олимпиады школьников; обеспечение участия учащихся и сопровождающих их лиц в  круглогодичных школах, летних профильных сменах, пленэрах, тренингах  и конкурсах для интеллектуально одаренных детей и детей одарённых  в области культуры и искусства, организованных на территории Красноярского края и за его пределами </t>
  </si>
  <si>
    <r>
      <rPr>
        <sz val="12"/>
        <color indexed="10"/>
        <rFont val="Times New Roman"/>
        <family val="1"/>
        <charset val="204"/>
      </rPr>
      <t>ПОСОВЕТОВАТЬСЯ С ПОЛЕЖАЕВОЙ, о необходимости этих позиций???</t>
    </r>
    <r>
      <rPr>
        <sz val="12"/>
        <color indexed="8"/>
        <rFont val="Times New Roman"/>
        <family val="1"/>
        <charset val="204"/>
      </rPr>
      <t xml:space="preserve"> Обеспечена подготовка и сопровождение 80 учащихся на различные выездные олимпиады и конкурсы</t>
    </r>
  </si>
  <si>
    <t>Отдел физической культуры, спорта и молодежной политики администрации города Дивногорска</t>
  </si>
  <si>
    <t>Отдел культуры и искусства администрации города Дивногорска</t>
  </si>
  <si>
    <t>0804</t>
  </si>
  <si>
    <t xml:space="preserve">Организация и проведение церемонии награждения денежными премиями учащихся, показавших высокие результаты  в учебе, олимпиадах, конференциях, творческих конкурсах, спортивных соревнованиях, и их педагогов </t>
  </si>
  <si>
    <t>МКУ ГИМЦ</t>
  </si>
  <si>
    <t>350</t>
  </si>
  <si>
    <t xml:space="preserve">Ежегодно не менее 45 одаренных и талантливых детей получают премию в размере от 1500 до 6000 рублей </t>
  </si>
  <si>
    <t>3.3.5</t>
  </si>
  <si>
    <t xml:space="preserve">Участие в краевом конкурсе муниципальных программ по работе с одаренными детьми </t>
  </si>
  <si>
    <t>0128898</t>
  </si>
  <si>
    <t>3.3.6</t>
  </si>
  <si>
    <t>Обеспечение функционирования системы персонифицированного финансирования дополнительного образования детей</t>
  </si>
  <si>
    <t>Отдел образования администрации города Дивногорска (МБОУ ДО "ДДТ")</t>
  </si>
  <si>
    <t>0120080650</t>
  </si>
  <si>
    <t>не менее 25% детей в возрасте от 5 до 18 лет, имеющих право на получение дополнительного образования в рамках системы песонифицированного финансирования от общей численности детей в возрасте от 5 до 18 лет</t>
  </si>
  <si>
    <t>Отдел культуры администрации города Дивногорска (МБУ ДО "ДХШ", МБУ ДО "ДШИ")</t>
  </si>
  <si>
    <t>956</t>
  </si>
  <si>
    <t>Итого по задаче 3</t>
  </si>
  <si>
    <t xml:space="preserve">Всего по подпрограмме в т.ч.: </t>
  </si>
  <si>
    <t xml:space="preserve">Начальник отдела образования администрации города Дивногорска </t>
  </si>
  <si>
    <t>Приложение 1
к паспорту подпрограммы 3 «Обеспечение безопасного качественного отдыха и оздоровления детей в период каникул"</t>
  </si>
  <si>
    <t>Цель: создание равных возможностей и условий для современного качественного образования, позитивной социализации и оздоровления детей в период каникул.</t>
  </si>
  <si>
    <t>Задача №1. Обеспечить безопасный, комфортный и качественный отдых в летний период</t>
  </si>
  <si>
    <t>3.1.1.</t>
  </si>
  <si>
    <r>
      <t>Доля оздоровленных</t>
    </r>
    <r>
      <rPr>
        <u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детей школьного возраста </t>
    </r>
  </si>
  <si>
    <t xml:space="preserve">Задача № 2. Обеспечить организацию и проведение мероприятий для детей и молодежи по направлениям (нравственно-патриотическое, спортивно-оздоровительное, социальное) </t>
  </si>
  <si>
    <t>3.2.1.</t>
  </si>
  <si>
    <t xml:space="preserve">Доля детей школьного возраста, вовлеченных в городские массовые мероприятия от общего числа детей школьного возраста </t>
  </si>
  <si>
    <t>3.2.2.</t>
  </si>
  <si>
    <t>Приложение № 2
к Паспорту  подпрограммы 3 «Обеспечение безопасного качественного отдыха и оздоровления детей в период каникул»</t>
  </si>
  <si>
    <t>0220466</t>
  </si>
  <si>
    <t xml:space="preserve">Задача № 1. Обеспечить безопасный, комфортный и качественный отдых в летний период. </t>
  </si>
  <si>
    <t>1.1.</t>
  </si>
  <si>
    <t>Содержание летних оздоровительных лагерей с дневным пребыванием детей ( приобретение канц. товаров, приобретение игрового и спортивного инвентаря, приобретение медицинских аптечек и витаминных препаратов, приобретение дезинфицирующих средств)</t>
  </si>
  <si>
    <t>0138811</t>
  </si>
  <si>
    <t>ВНЕСЛА ДЕНЬГИ ИЗ СМЕТЫ по МЦП</t>
  </si>
  <si>
    <t>Ежегодное функционирование 6 летних оздоровительных лагерей с дневным пребыванием детей, соответствующих требованиям надзорных органов, для 868 детей</t>
  </si>
  <si>
    <r>
      <t>0138811; 013008397Г,</t>
    </r>
    <r>
      <rPr>
        <b/>
        <sz val="12"/>
        <rFont val="Times New Roman"/>
        <family val="1"/>
        <charset val="204"/>
      </rPr>
      <t xml:space="preserve">  01300S397Я, 01300S649J</t>
    </r>
  </si>
  <si>
    <t xml:space="preserve">Организация подготовки и содержание нестационарного (стационарного) палаточного лагеря </t>
  </si>
  <si>
    <t xml:space="preserve">Ежегодное функционирование 1 палаточного лагеря,  соответствующего требованиям надзорных органов, и обеспечение питанием не менее 60 детей; </t>
  </si>
  <si>
    <t>Проведение мероприятий, конкурсных программ, праздников, соревнований</t>
  </si>
  <si>
    <t xml:space="preserve">Ежегодное проведение мероприятий, конкурсных программ, праздников, соревнований для  6 летних оздоровительных лагерей с дневным пребыванием детей </t>
  </si>
  <si>
    <t>Субсидия на оплату стоимости набора продуктов питания или готовых блюд и их транспортировки в лагерях с дневным пребыванием детей, в рамках Государственной программы Красноярского края "Развитие образования" (кр.б.)</t>
  </si>
  <si>
    <t>0137582; 0130073970, 01300S649Д</t>
  </si>
  <si>
    <t>612;240;320</t>
  </si>
  <si>
    <t>Предоставлены средства для оплаты стоимости продуктов питания или готовых блюд и их транспортировки для 868 детей в летних оздоровительных лагерях с дневным пребыванием детей</t>
  </si>
  <si>
    <t>0137582; 0130073970</t>
  </si>
  <si>
    <t>Оплата стоимости набора продуктов питания или готовых блюд и их транспортировки (м.б.)</t>
  </si>
  <si>
    <r>
      <t>01300S397Г,</t>
    </r>
    <r>
      <rPr>
        <b/>
        <sz val="12"/>
        <rFont val="Times New Roman"/>
        <family val="1"/>
        <charset val="204"/>
      </rPr>
      <t xml:space="preserve"> 01300S649G</t>
    </r>
  </si>
  <si>
    <t>612; 240,622</t>
  </si>
  <si>
    <r>
      <t>01300S397Г,</t>
    </r>
    <r>
      <rPr>
        <b/>
        <sz val="12"/>
        <rFont val="Times New Roman"/>
        <family val="1"/>
        <charset val="204"/>
      </rPr>
      <t xml:space="preserve"> 01300S397Ю,01300S649U</t>
    </r>
  </si>
  <si>
    <t>622, 240</t>
  </si>
  <si>
    <t>Оплата стоимости набора продуктов питания или готовых блюд и их транспортировки, приобретение товарно-материальных ценностей (внебюджет)</t>
  </si>
  <si>
    <t>Расходы на выплату персоналу средств на оплату компенсации затрат на обеспечение деятельности специалистов, реализующих переданные государственные полномочия</t>
  </si>
  <si>
    <t>0130076490</t>
  </si>
  <si>
    <t>110</t>
  </si>
  <si>
    <t>Расходы на оплату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</t>
  </si>
  <si>
    <t>0137583;  013007397Д, 0130073970, 0130076490</t>
  </si>
  <si>
    <t>320,240</t>
  </si>
  <si>
    <t xml:space="preserve">Предоставлены средства для оплаты стоимости путёвок для детей в краевых государственных и негосударственных организациях отдыха, оздоровления и занятости детей, зарегистрированные на территории края, муниципальные загородные оздоровительные лагеря для </t>
  </si>
  <si>
    <t>1.6</t>
  </si>
  <si>
    <t>Софинансирование расходов на оплату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</t>
  </si>
  <si>
    <t>0130088790 01300S397Д, 01300S649D</t>
  </si>
  <si>
    <t>Оздоровлены в загородных лагерях не менее 259 детей</t>
  </si>
  <si>
    <t>1,9</t>
  </si>
  <si>
    <r>
      <t xml:space="preserve">Расходы на оплату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 </t>
    </r>
    <r>
      <rPr>
        <sz val="12"/>
        <color indexed="10"/>
        <rFont val="Times New Roman"/>
        <family val="1"/>
        <charset val="204"/>
      </rPr>
      <t>(ЭТО НЕ ОДНО И ТО ЖЕ, что и п. 1.8???)</t>
    </r>
  </si>
  <si>
    <t xml:space="preserve">Проведение мероприятий гражданско-патриотической направленности </t>
  </si>
  <si>
    <t xml:space="preserve">Проведено 4 мероприятия с общей численностью участников не менее 500 человек. </t>
  </si>
  <si>
    <t xml:space="preserve">Проведение мероприятий спортивно-оздоровительной направленности </t>
  </si>
  <si>
    <t xml:space="preserve">Проведен туристический слет с общей численностью участников не менее 150 человек. </t>
  </si>
  <si>
    <t xml:space="preserve">Проведение мероприятий по организации отдыха детей </t>
  </si>
  <si>
    <t>0130088780</t>
  </si>
  <si>
    <t>240</t>
  </si>
  <si>
    <t>01300888780</t>
  </si>
  <si>
    <t>Приложение № 1 
к Паспорту  подпрограммы 4 «Обеспечение реализации муниципальной программы и прочие мероприятия в области образования»</t>
  </si>
  <si>
    <t>Цель: создание условий для эффективного управления отраслью</t>
  </si>
  <si>
    <t>Задача 1 Организация деятельности отдела образования, учреждений, обеспечивающих деятельность образовательных учреждений, направленной на эффективное управление отраслью</t>
  </si>
  <si>
    <t>4.1.1.</t>
  </si>
  <si>
    <r>
      <t xml:space="preserve">Своевременность  утверждения муниципальных заданий  подведомственным  распорядителю учреждениям на текущий финансовый год и плановый период в срок, установленный в Положении о порядке и условиях формирования муниципального задания в отношении муниципальных учреждений, финансового обеспечения и оценки выполнения муниципального задания, утвержденного Постановлением администрации города Дивногорска от 24.12.2012 N 264п </t>
    </r>
    <r>
      <rPr>
        <i/>
        <sz val="12"/>
        <rFont val="Times New Roman"/>
        <family val="1"/>
        <charset val="204"/>
      </rPr>
      <t xml:space="preserve">(Отдел образования администрации города, МСКУ "МЦБ")
</t>
    </r>
    <r>
      <rPr>
        <sz val="12"/>
        <rFont val="Times New Roman"/>
        <family val="1"/>
        <charset val="204"/>
      </rPr>
      <t xml:space="preserve">
</t>
    </r>
  </si>
  <si>
    <t>1.11.</t>
  </si>
  <si>
    <t>финансовое управление администрации города Дивногорска</t>
  </si>
  <si>
    <t>Уровень исполнения расходов распорядителя за счет средств местного бюджета (без учета межбюджетных трансфертов) (Отдел образования администрации города, МСКУ "МЦБ")</t>
  </si>
  <si>
    <t>4.1.15.</t>
  </si>
  <si>
    <t>Задача 2 Обеспечить реализацию мероприятий, направленных на развитие семейных форм воспитания детей-сирот и детей, оставшихся без попечения родителей</t>
  </si>
  <si>
    <t>Численность детей, оставшихся без попечения родителей, переданных на воспитание в замещающие семьи (опека, приемная семья, усыновление), в том числе   переданных навоспитание в семьи посторонних граждан.</t>
  </si>
  <si>
    <t xml:space="preserve">чел. </t>
  </si>
  <si>
    <t>Приложение 2 
к паспорту подпрограммы 4 «Обеспечение реализации муниципальной программы и прочие мероприятия в области образования»</t>
  </si>
  <si>
    <t>Ожидаемый результат от реализации подпрограммного мероприятия (в натуральном выражении)</t>
  </si>
  <si>
    <t>Задача 1 Организация деятельности отдела образования,  учреждений, обеспечивающих деятельность образовательных учреждений, направленной на эффективное управление отраслью</t>
  </si>
  <si>
    <t>Руководство и управление в сфере установленных функций органов местного самоуправления</t>
  </si>
  <si>
    <t>0140080210</t>
  </si>
  <si>
    <t xml:space="preserve">Повышение эффективности управления муниципальными финансами и использования муниципального имущества в части вопросов реализации программы, совершенствование системы оплаты труда и мер социальной защиты и поддержки, повышение качества межведомственного взаимодействия </t>
  </si>
  <si>
    <t>244, 850</t>
  </si>
  <si>
    <t>0140080910</t>
  </si>
  <si>
    <t>014001036W</t>
  </si>
  <si>
    <t>014001036Z</t>
  </si>
  <si>
    <t>0140010390</t>
  </si>
  <si>
    <t>0140010400</t>
  </si>
  <si>
    <t>014001047В, 014001038V</t>
  </si>
  <si>
    <t>014001047О, 014001038А</t>
  </si>
  <si>
    <t>4.1.2</t>
  </si>
  <si>
    <t xml:space="preserve">Мероприятия по развитию и поддержке информационных баз данных системы образования </t>
  </si>
  <si>
    <t xml:space="preserve">отдел образования администрации города Дивногорска (МКУ ГИМЦ)- </t>
  </si>
  <si>
    <t>0140080220</t>
  </si>
  <si>
    <t>Функционируют  БД системы дошкольного, общего и дополнительного образовния, БД детей-сирот, сайт системы образования города</t>
  </si>
  <si>
    <t>4.1.3</t>
  </si>
  <si>
    <t xml:space="preserve">Обеспечение деятельности (оказание услуг) подведомственных учреждений </t>
  </si>
  <si>
    <t xml:space="preserve">МСКУ "МЦБ"               </t>
  </si>
  <si>
    <t>014001047К</t>
  </si>
  <si>
    <t>Обеспечено бухгалтерское обслуживание 37 учреждений;</t>
  </si>
  <si>
    <t>0140080710</t>
  </si>
  <si>
    <t>0140010230, 0140010490</t>
  </si>
  <si>
    <t>014001036U</t>
  </si>
  <si>
    <t>014001038А</t>
  </si>
  <si>
    <t>4.1.4</t>
  </si>
  <si>
    <t>Обеспечение деятельности (оказание услуг) подведомственных учреждений (ГИМЦ)</t>
  </si>
  <si>
    <r>
      <t xml:space="preserve">МКУ ГИМЦ </t>
    </r>
    <r>
      <rPr>
        <sz val="12"/>
        <color indexed="10"/>
        <rFont val="Times New Roman"/>
        <family val="1"/>
        <charset val="204"/>
      </rPr>
      <t/>
    </r>
  </si>
  <si>
    <t>Обеспечено услугами по юридическому и методическому сопровождению 21 образовательное учреждение.   Ежегодно 250 педагогов повышают квалификацию, проведены 20 мероприятий с численностью участников 1600 человек, функционируют не менее 15 различных форм педагогических объединений; обеспечение мониторинга качества образования, а также проведение государственной итоговой аттестации выпускников общеобразовательных учреждений в установленные сроки</t>
  </si>
  <si>
    <t>0148081</t>
  </si>
  <si>
    <t>0140010450</t>
  </si>
  <si>
    <t>4.1.5</t>
  </si>
  <si>
    <t>Обеспечение деятельности (оказание услуг) подведомственных учреждений (ЦТО)</t>
  </si>
  <si>
    <t>МКУ ЦТО</t>
  </si>
  <si>
    <t>0140010370</t>
  </si>
  <si>
    <t>4.2.1</t>
  </si>
  <si>
    <t>Обеспечение деятельности специалистов по опеке и попечительству в отношении несовершеннолетних</t>
  </si>
  <si>
    <t>отдел образования администрации города Дивногорска (опека и попечительство)</t>
  </si>
  <si>
    <t>0140075520</t>
  </si>
  <si>
    <t>Обеспечить деятельность 2 специалистов по вопросам опеки и попечительства по исполнению государственных полномочий по организации и осуществлению деятельности по опеке и попечительству.</t>
  </si>
  <si>
    <t>4.2.2</t>
  </si>
  <si>
    <t>Приобретение жилых помещений для их предоставления по договору найма детям-сиротам, детям, оставшимся без попечения родителей, и лицам из их числа</t>
  </si>
  <si>
    <t>администрация города Дивногорска (опека и попечительство)</t>
  </si>
  <si>
    <t>0140050820</t>
  </si>
  <si>
    <t>410</t>
  </si>
  <si>
    <t>Приобретены жилые помещения для 25 детей-сирот и детей, оставшихся без попечения родителей</t>
  </si>
  <si>
    <t>0147587</t>
  </si>
  <si>
    <t>01400R0820, 0140075870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</si>
</sst>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_р_._-;\-* #,##0.0_р_._-;_-* &quot;-&quot;?_р_._-;_-@_-"/>
    <numFmt numFmtId="165" formatCode="_-* #,##0.0\ _₽_-;\-* #,##0.0\ _₽_-;_-* &quot;-&quot;?\ _₽_-;_-@_-"/>
    <numFmt numFmtId="166" formatCode="_-* #,##0.00_р_._-;\-* #,##0.00_р_._-;_-* &quot;-&quot;??_р_._-;_-@_-"/>
    <numFmt numFmtId="167" formatCode="0.0"/>
    <numFmt numFmtId="168" formatCode="#,##0.0"/>
    <numFmt numFmtId="169" formatCode="#,##0.0_ ;\-#,##0.0\ "/>
    <numFmt numFmtId="170" formatCode="_-* #,##0.00_р_._-;\-* #,##0.00_р_._-;_-* &quot;-&quot;?_р_._-;_-@_-"/>
  </numFmts>
  <fonts count="33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name val="Calibri"/>
      <family val="2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7030A0"/>
      <name val="Times New Roman"/>
      <family val="1"/>
      <charset val="204"/>
    </font>
    <font>
      <b/>
      <sz val="12"/>
      <color rgb="FF0033CC"/>
      <name val="Times New Roman"/>
      <family val="1"/>
      <charset val="204"/>
    </font>
    <font>
      <i/>
      <sz val="11"/>
      <color indexed="10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60"/>
      <name val="Times New Roman"/>
      <family val="1"/>
      <charset val="204"/>
    </font>
    <font>
      <sz val="12"/>
      <color theme="0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sz val="12"/>
      <color indexed="9"/>
      <name val="Times New Roman"/>
      <family val="1"/>
      <charset val="204"/>
    </font>
    <font>
      <i/>
      <sz val="12"/>
      <color rgb="FF7030A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color indexed="3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1" fillId="0" borderId="0"/>
  </cellStyleXfs>
  <cellXfs count="550">
    <xf numFmtId="0" fontId="0" fillId="0" borderId="0" xfId="0"/>
    <xf numFmtId="0" fontId="2" fillId="0" borderId="0" xfId="0" applyFont="1"/>
    <xf numFmtId="0" fontId="3" fillId="0" borderId="0" xfId="0" applyFont="1" applyAlignment="1">
      <alignment vertical="top" wrapText="1"/>
    </xf>
    <xf numFmtId="0" fontId="3" fillId="0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164" fontId="2" fillId="2" borderId="2" xfId="0" applyNumberFormat="1" applyFont="1" applyFill="1" applyBorder="1"/>
    <xf numFmtId="164" fontId="2" fillId="0" borderId="2" xfId="0" applyNumberFormat="1" applyFont="1" applyFill="1" applyBorder="1"/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2" xfId="0" applyFont="1" applyBorder="1"/>
    <xf numFmtId="164" fontId="2" fillId="2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164" fontId="2" fillId="0" borderId="0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49" fontId="2" fillId="3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Fill="1" applyBorder="1"/>
    <xf numFmtId="49" fontId="2" fillId="0" borderId="2" xfId="0" applyNumberFormat="1" applyFont="1" applyFill="1" applyBorder="1"/>
    <xf numFmtId="0" fontId="2" fillId="2" borderId="2" xfId="0" applyFont="1" applyFill="1" applyBorder="1"/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4" fontId="2" fillId="2" borderId="0" xfId="0" applyNumberFormat="1" applyFont="1" applyFill="1" applyAlignment="1">
      <alignment horizontal="center"/>
    </xf>
    <xf numFmtId="0" fontId="2" fillId="0" borderId="2" xfId="0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164" fontId="2" fillId="0" borderId="0" xfId="0" applyNumberFormat="1" applyFont="1"/>
    <xf numFmtId="164" fontId="2" fillId="0" borderId="0" xfId="0" applyNumberFormat="1" applyFont="1" applyFill="1"/>
    <xf numFmtId="0" fontId="2" fillId="0" borderId="0" xfId="0" applyFont="1" applyFill="1"/>
    <xf numFmtId="165" fontId="2" fillId="0" borderId="0" xfId="0" applyNumberFormat="1" applyFont="1" applyFill="1"/>
    <xf numFmtId="165" fontId="2" fillId="0" borderId="0" xfId="0" applyNumberFormat="1" applyFont="1"/>
    <xf numFmtId="0" fontId="5" fillId="0" borderId="0" xfId="0" applyFont="1" applyFill="1"/>
    <xf numFmtId="0" fontId="6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top" wrapText="1"/>
    </xf>
    <xf numFmtId="4" fontId="2" fillId="2" borderId="2" xfId="1" applyNumberFormat="1" applyFont="1" applyFill="1" applyBorder="1" applyAlignment="1">
      <alignment horizontal="right" vertical="center" wrapText="1"/>
    </xf>
    <xf numFmtId="4" fontId="2" fillId="0" borderId="2" xfId="1" applyNumberFormat="1" applyFont="1" applyFill="1" applyBorder="1" applyAlignment="1">
      <alignment horizontal="right" vertical="center" wrapText="1"/>
    </xf>
    <xf numFmtId="4" fontId="2" fillId="4" borderId="2" xfId="1" applyNumberFormat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left" vertical="top" wrapText="1" indent="1"/>
    </xf>
    <xf numFmtId="0" fontId="6" fillId="2" borderId="2" xfId="0" applyFont="1" applyFill="1" applyBorder="1" applyAlignment="1">
      <alignment horizontal="right" vertical="center" wrapText="1"/>
    </xf>
    <xf numFmtId="4" fontId="2" fillId="2" borderId="2" xfId="0" applyNumberFormat="1" applyFont="1" applyFill="1" applyBorder="1" applyAlignment="1">
      <alignment horizontal="right" vertical="center"/>
    </xf>
    <xf numFmtId="4" fontId="2" fillId="0" borderId="2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vertical="top" wrapText="1" indent="2"/>
    </xf>
    <xf numFmtId="4" fontId="2" fillId="4" borderId="2" xfId="0" applyNumberFormat="1" applyFont="1" applyFill="1" applyBorder="1" applyAlignment="1">
      <alignment horizontal="right" vertical="center"/>
    </xf>
    <xf numFmtId="0" fontId="2" fillId="0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top" wrapText="1"/>
    </xf>
    <xf numFmtId="4" fontId="6" fillId="2" borderId="2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/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/>
    <xf numFmtId="0" fontId="2" fillId="2" borderId="0" xfId="0" applyFont="1" applyFill="1"/>
    <xf numFmtId="0" fontId="2" fillId="2" borderId="9" xfId="0" applyFont="1" applyFill="1" applyBorder="1" applyAlignment="1">
      <alignment horizontal="right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2" fillId="2" borderId="2" xfId="0" applyFont="1" applyFill="1" applyBorder="1" applyAlignment="1">
      <alignment horizontal="left" vertical="center" wrapText="1"/>
    </xf>
    <xf numFmtId="167" fontId="2" fillId="2" borderId="2" xfId="0" applyNumberFormat="1" applyFont="1" applyFill="1" applyBorder="1" applyAlignment="1">
      <alignment horizontal="center" vertical="center"/>
    </xf>
    <xf numFmtId="167" fontId="2" fillId="4" borderId="2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left" wrapText="1"/>
    </xf>
    <xf numFmtId="0" fontId="2" fillId="4" borderId="2" xfId="0" applyFont="1" applyFill="1" applyBorder="1" applyAlignment="1">
      <alignment horizontal="center" vertical="center"/>
    </xf>
    <xf numFmtId="167" fontId="2" fillId="2" borderId="0" xfId="0" applyNumberFormat="1" applyFont="1" applyFill="1"/>
    <xf numFmtId="0" fontId="2" fillId="2" borderId="2" xfId="0" applyFont="1" applyFill="1" applyBorder="1" applyAlignment="1">
      <alignment vertical="center"/>
    </xf>
    <xf numFmtId="167" fontId="2" fillId="2" borderId="2" xfId="0" applyNumberFormat="1" applyFont="1" applyFill="1" applyBorder="1" applyAlignment="1">
      <alignment vertical="center"/>
    </xf>
    <xf numFmtId="0" fontId="2" fillId="4" borderId="2" xfId="0" applyFont="1" applyFill="1" applyBorder="1" applyAlignment="1">
      <alignment vertical="center"/>
    </xf>
    <xf numFmtId="167" fontId="2" fillId="0" borderId="2" xfId="0" applyNumberFormat="1" applyFont="1" applyFill="1" applyBorder="1" applyAlignment="1">
      <alignment horizontal="center" vertical="center"/>
    </xf>
    <xf numFmtId="167" fontId="2" fillId="0" borderId="0" xfId="0" applyNumberFormat="1" applyFont="1" applyFill="1"/>
    <xf numFmtId="0" fontId="2" fillId="0" borderId="0" xfId="0" applyFont="1" applyAlignment="1">
      <alignment horizontal="right"/>
    </xf>
    <xf numFmtId="49" fontId="2" fillId="0" borderId="0" xfId="2" applyNumberFormat="1" applyFont="1" applyFill="1" applyAlignment="1">
      <alignment horizontal="center" vertical="center"/>
    </xf>
    <xf numFmtId="0" fontId="2" fillId="0" borderId="0" xfId="2" applyFont="1" applyFill="1" applyAlignment="1">
      <alignment wrapText="1"/>
    </xf>
    <xf numFmtId="0" fontId="2" fillId="0" borderId="0" xfId="2" applyFont="1" applyFill="1" applyAlignment="1">
      <alignment horizontal="center" vertical="center" wrapText="1"/>
    </xf>
    <xf numFmtId="0" fontId="7" fillId="0" borderId="0" xfId="2" applyFont="1" applyFill="1" applyAlignment="1">
      <alignment horizontal="left" vertical="top" wrapText="1"/>
    </xf>
    <xf numFmtId="0" fontId="8" fillId="0" borderId="0" xfId="0" applyFont="1" applyFill="1"/>
    <xf numFmtId="0" fontId="4" fillId="0" borderId="0" xfId="2" applyFont="1" applyFill="1" applyBorder="1" applyAlignment="1">
      <alignment horizontal="center" vertical="center" wrapText="1"/>
    </xf>
    <xf numFmtId="49" fontId="2" fillId="0" borderId="2" xfId="2" applyNumberFormat="1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 inden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2" xfId="2" applyNumberFormat="1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left" vertical="center" wrapText="1"/>
    </xf>
    <xf numFmtId="2" fontId="2" fillId="2" borderId="2" xfId="2" applyNumberFormat="1" applyFont="1" applyFill="1" applyBorder="1" applyAlignment="1">
      <alignment horizontal="center" vertical="center" wrapText="1"/>
    </xf>
    <xf numFmtId="2" fontId="2" fillId="2" borderId="0" xfId="2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left" vertical="center" wrapText="1" inden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0" xfId="2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2" fillId="2" borderId="0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left" vertical="center" wrapText="1"/>
    </xf>
    <xf numFmtId="49" fontId="2" fillId="2" borderId="0" xfId="0" applyNumberFormat="1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167" fontId="2" fillId="2" borderId="0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2" fontId="2" fillId="0" borderId="2" xfId="2" applyNumberFormat="1" applyFont="1" applyFill="1" applyBorder="1" applyAlignment="1">
      <alignment horizontal="center" vertical="center"/>
    </xf>
    <xf numFmtId="2" fontId="2" fillId="0" borderId="0" xfId="2" applyNumberFormat="1" applyFont="1" applyFill="1" applyBorder="1" applyAlignment="1">
      <alignment horizontal="center" vertical="center"/>
    </xf>
    <xf numFmtId="0" fontId="2" fillId="0" borderId="2" xfId="2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2" fontId="2" fillId="2" borderId="2" xfId="2" applyNumberFormat="1" applyFont="1" applyFill="1" applyBorder="1" applyAlignment="1">
      <alignment horizontal="center" vertical="center"/>
    </xf>
    <xf numFmtId="2" fontId="2" fillId="2" borderId="0" xfId="2" applyNumberFormat="1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49" fontId="2" fillId="0" borderId="2" xfId="2" applyNumberFormat="1" applyFont="1" applyFill="1" applyBorder="1" applyAlignment="1">
      <alignment horizontal="center" vertical="center" wrapText="1"/>
    </xf>
    <xf numFmtId="2" fontId="2" fillId="0" borderId="2" xfId="2" applyNumberFormat="1" applyFont="1" applyFill="1" applyBorder="1" applyAlignment="1">
      <alignment horizontal="center" vertical="center" wrapText="1"/>
    </xf>
    <xf numFmtId="2" fontId="2" fillId="0" borderId="0" xfId="2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2" fillId="2" borderId="2" xfId="2" applyNumberFormat="1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left" vertical="top" wrapText="1" indent="1"/>
    </xf>
    <xf numFmtId="3" fontId="2" fillId="0" borderId="2" xfId="2" applyNumberFormat="1" applyFont="1" applyFill="1" applyBorder="1" applyAlignment="1">
      <alignment horizontal="center" vertical="center" wrapText="1"/>
    </xf>
    <xf numFmtId="49" fontId="2" fillId="4" borderId="2" xfId="0" applyNumberFormat="1" applyFont="1" applyFill="1" applyBorder="1" applyAlignment="1">
      <alignment horizontal="center" vertical="center"/>
    </xf>
    <xf numFmtId="0" fontId="2" fillId="4" borderId="2" xfId="2" applyFont="1" applyFill="1" applyBorder="1" applyAlignment="1">
      <alignment horizontal="left" vertical="top" wrapText="1" indent="1"/>
    </xf>
    <xf numFmtId="0" fontId="2" fillId="4" borderId="2" xfId="2" applyFont="1" applyFill="1" applyBorder="1" applyAlignment="1">
      <alignment horizontal="center" vertical="center" wrapText="1"/>
    </xf>
    <xf numFmtId="0" fontId="2" fillId="4" borderId="2" xfId="2" applyFont="1" applyFill="1" applyBorder="1" applyAlignment="1">
      <alignment horizontal="center" vertical="top" wrapText="1"/>
    </xf>
    <xf numFmtId="0" fontId="2" fillId="4" borderId="2" xfId="2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1" fontId="2" fillId="5" borderId="2" xfId="2" applyNumberFormat="1" applyFont="1" applyFill="1" applyBorder="1" applyAlignment="1">
      <alignment horizontal="center" vertical="center" wrapText="1"/>
    </xf>
    <xf numFmtId="0" fontId="2" fillId="5" borderId="2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2" fillId="2" borderId="2" xfId="0" applyFont="1" applyFill="1" applyBorder="1" applyAlignment="1">
      <alignment horizontal="left"/>
    </xf>
    <xf numFmtId="0" fontId="2" fillId="0" borderId="2" xfId="2" applyFont="1" applyFill="1" applyBorder="1" applyAlignment="1">
      <alignment vertical="top" wrapText="1"/>
    </xf>
    <xf numFmtId="0" fontId="2" fillId="2" borderId="0" xfId="0" applyFont="1" applyFill="1" applyBorder="1"/>
    <xf numFmtId="0" fontId="2" fillId="2" borderId="2" xfId="0" applyFont="1" applyFill="1" applyBorder="1" applyAlignment="1">
      <alignment horizontal="left"/>
    </xf>
    <xf numFmtId="0" fontId="2" fillId="0" borderId="2" xfId="2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center" wrapText="1"/>
    </xf>
    <xf numFmtId="0" fontId="8" fillId="0" borderId="0" xfId="0" applyFont="1" applyFill="1" applyBorder="1"/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168" fontId="2" fillId="0" borderId="2" xfId="0" applyNumberFormat="1" applyFont="1" applyFill="1" applyBorder="1" applyAlignment="1">
      <alignment horizontal="center" vertical="center" wrapText="1"/>
    </xf>
    <xf numFmtId="168" fontId="2" fillId="0" borderId="2" xfId="2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wrapText="1"/>
    </xf>
    <xf numFmtId="0" fontId="2" fillId="2" borderId="0" xfId="0" applyFont="1" applyFill="1" applyAlignment="1">
      <alignment wrapText="1"/>
    </xf>
    <xf numFmtId="0" fontId="2" fillId="2" borderId="0" xfId="0" applyFont="1" applyFill="1" applyBorder="1" applyAlignment="1">
      <alignment horizontal="right" wrapText="1"/>
    </xf>
    <xf numFmtId="0" fontId="0" fillId="2" borderId="0" xfId="0" applyFill="1" applyBorder="1" applyAlignment="1"/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3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 wrapText="1"/>
    </xf>
    <xf numFmtId="49" fontId="2" fillId="0" borderId="6" xfId="2" applyNumberFormat="1" applyFont="1" applyFill="1" applyBorder="1" applyAlignment="1">
      <alignment horizontal="center" vertical="center" wrapText="1"/>
    </xf>
    <xf numFmtId="0" fontId="2" fillId="0" borderId="6" xfId="2" applyFont="1" applyFill="1" applyBorder="1" applyAlignment="1">
      <alignment horizontal="center" vertical="center" wrapText="1"/>
    </xf>
    <xf numFmtId="49" fontId="2" fillId="0" borderId="7" xfId="2" applyNumberFormat="1" applyFont="1" applyFill="1" applyBorder="1" applyAlignment="1">
      <alignment horizontal="center" vertical="center" wrapText="1"/>
    </xf>
    <xf numFmtId="0" fontId="2" fillId="0" borderId="7" xfId="2" applyFont="1" applyFill="1" applyBorder="1" applyAlignment="1">
      <alignment horizontal="center" vertical="center" wrapText="1"/>
    </xf>
    <xf numFmtId="0" fontId="0" fillId="0" borderId="7" xfId="0" applyFill="1" applyBorder="1"/>
    <xf numFmtId="0" fontId="0" fillId="0" borderId="7" xfId="0" applyBorder="1"/>
    <xf numFmtId="49" fontId="2" fillId="0" borderId="8" xfId="2" applyNumberFormat="1" applyFont="1" applyFill="1" applyBorder="1" applyAlignment="1">
      <alignment horizontal="center" vertical="center" wrapText="1"/>
    </xf>
    <xf numFmtId="0" fontId="2" fillId="0" borderId="8" xfId="2" applyFont="1" applyFill="1" applyBorder="1" applyAlignment="1">
      <alignment horizontal="center" vertical="center" wrapText="1"/>
    </xf>
    <xf numFmtId="0" fontId="0" fillId="0" borderId="8" xfId="0" applyFill="1" applyBorder="1"/>
    <xf numFmtId="0" fontId="0" fillId="0" borderId="8" xfId="0" applyBorder="1"/>
    <xf numFmtId="0" fontId="2" fillId="2" borderId="8" xfId="0" applyFont="1" applyFill="1" applyBorder="1" applyAlignment="1">
      <alignment horizontal="center" vertical="center" wrapText="1"/>
    </xf>
    <xf numFmtId="0" fontId="2" fillId="0" borderId="11" xfId="2" applyFont="1" applyFill="1" applyBorder="1" applyAlignment="1">
      <alignment horizontal="center" vertical="center" wrapText="1"/>
    </xf>
    <xf numFmtId="0" fontId="2" fillId="0" borderId="9" xfId="2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67" fontId="2" fillId="2" borderId="6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167" fontId="2" fillId="2" borderId="5" xfId="0" applyNumberFormat="1" applyFont="1" applyFill="1" applyBorder="1" applyAlignment="1">
      <alignment horizontal="center" vertical="center"/>
    </xf>
    <xf numFmtId="167" fontId="2" fillId="0" borderId="8" xfId="0" applyNumberFormat="1" applyFont="1" applyFill="1" applyBorder="1" applyAlignment="1">
      <alignment horizontal="center" vertical="center"/>
    </xf>
    <xf numFmtId="167" fontId="2" fillId="2" borderId="8" xfId="0" applyNumberFormat="1" applyFont="1" applyFill="1" applyBorder="1" applyAlignment="1">
      <alignment horizontal="center" vertical="center"/>
    </xf>
    <xf numFmtId="0" fontId="14" fillId="0" borderId="0" xfId="0" applyFont="1" applyFill="1"/>
    <xf numFmtId="0" fontId="2" fillId="4" borderId="2" xfId="0" applyFont="1" applyFill="1" applyBorder="1" applyAlignment="1">
      <alignment horizontal="left" vertical="center" wrapText="1" indent="1"/>
    </xf>
    <xf numFmtId="49" fontId="2" fillId="0" borderId="0" xfId="2" applyNumberFormat="1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left" vertical="center" wrapText="1" indent="1"/>
    </xf>
    <xf numFmtId="0" fontId="2" fillId="0" borderId="0" xfId="2" applyNumberFormat="1" applyFont="1" applyFill="1" applyBorder="1" applyAlignment="1">
      <alignment horizontal="center" vertical="center" wrapText="1"/>
    </xf>
    <xf numFmtId="0" fontId="2" fillId="2" borderId="0" xfId="2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/>
    </xf>
    <xf numFmtId="49" fontId="2" fillId="0" borderId="0" xfId="0" applyNumberFormat="1" applyFont="1" applyFill="1" applyBorder="1" applyAlignment="1">
      <alignment horizontal="center"/>
    </xf>
    <xf numFmtId="166" fontId="2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168" fontId="7" fillId="0" borderId="0" xfId="0" applyNumberFormat="1" applyFont="1" applyFill="1" applyBorder="1" applyAlignment="1">
      <alignment horizontal="left" vertical="top" wrapText="1"/>
    </xf>
    <xf numFmtId="0" fontId="16" fillId="0" borderId="0" xfId="2" applyFont="1" applyFill="1" applyAlignment="1">
      <alignment horizontal="left" vertical="top" wrapText="1"/>
    </xf>
    <xf numFmtId="0" fontId="7" fillId="0" borderId="0" xfId="2" applyFont="1" applyFill="1" applyAlignment="1">
      <alignment vertical="top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left" vertical="top" wrapText="1"/>
    </xf>
    <xf numFmtId="49" fontId="2" fillId="0" borderId="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right" wrapText="1"/>
    </xf>
    <xf numFmtId="4" fontId="2" fillId="0" borderId="2" xfId="0" applyNumberFormat="1" applyFont="1" applyFill="1" applyBorder="1" applyAlignment="1">
      <alignment horizontal="right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left" vertical="top" wrapText="1"/>
    </xf>
    <xf numFmtId="49" fontId="2" fillId="6" borderId="2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left" vertical="top" wrapText="1"/>
    </xf>
    <xf numFmtId="49" fontId="2" fillId="0" borderId="8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left" vertical="top" wrapText="1"/>
    </xf>
    <xf numFmtId="0" fontId="2" fillId="0" borderId="7" xfId="0" applyNumberFormat="1" applyFont="1" applyFill="1" applyBorder="1" applyAlignment="1">
      <alignment horizontal="left" vertical="top" wrapText="1"/>
    </xf>
    <xf numFmtId="49" fontId="2" fillId="2" borderId="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right"/>
    </xf>
    <xf numFmtId="4" fontId="2" fillId="0" borderId="2" xfId="0" applyNumberFormat="1" applyFont="1" applyFill="1" applyBorder="1" applyAlignment="1">
      <alignment horizontal="right"/>
    </xf>
    <xf numFmtId="0" fontId="2" fillId="0" borderId="8" xfId="0" applyNumberFormat="1" applyFont="1" applyFill="1" applyBorder="1" applyAlignment="1">
      <alignment horizontal="left" vertical="top" wrapText="1"/>
    </xf>
    <xf numFmtId="0" fontId="2" fillId="0" borderId="2" xfId="0" applyNumberFormat="1" applyFont="1" applyFill="1" applyBorder="1" applyAlignment="1">
      <alignment horizontal="left" vertical="top" wrapText="1"/>
    </xf>
    <xf numFmtId="49" fontId="2" fillId="0" borderId="6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 wrapText="1"/>
    </xf>
    <xf numFmtId="49" fontId="2" fillId="0" borderId="7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8" xfId="0" applyNumberFormat="1" applyFont="1" applyFill="1" applyBorder="1" applyAlignment="1">
      <alignment horizontal="left" vertical="top" wrapText="1"/>
    </xf>
    <xf numFmtId="4" fontId="2" fillId="4" borderId="2" xfId="0" applyNumberFormat="1" applyFont="1" applyFill="1" applyBorder="1" applyAlignment="1">
      <alignment horizontal="right"/>
    </xf>
    <xf numFmtId="49" fontId="2" fillId="0" borderId="8" xfId="0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left" vertical="center" wrapText="1"/>
    </xf>
    <xf numFmtId="49" fontId="2" fillId="2" borderId="8" xfId="0" applyNumberFormat="1" applyFont="1" applyFill="1" applyBorder="1" applyAlignment="1">
      <alignment horizontal="center" vertical="center"/>
    </xf>
    <xf numFmtId="0" fontId="2" fillId="2" borderId="8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49" fontId="7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wrapText="1"/>
    </xf>
    <xf numFmtId="49" fontId="7" fillId="0" borderId="8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 wrapText="1"/>
    </xf>
    <xf numFmtId="49" fontId="7" fillId="2" borderId="6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 wrapText="1"/>
    </xf>
    <xf numFmtId="49" fontId="7" fillId="2" borderId="8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4" fontId="18" fillId="2" borderId="2" xfId="0" applyNumberFormat="1" applyFont="1" applyFill="1" applyBorder="1" applyAlignment="1">
      <alignment horizontal="right"/>
    </xf>
    <xf numFmtId="4" fontId="18" fillId="0" borderId="2" xfId="0" applyNumberFormat="1" applyFont="1" applyFill="1" applyBorder="1" applyAlignment="1">
      <alignment horizontal="right"/>
    </xf>
    <xf numFmtId="0" fontId="0" fillId="0" borderId="8" xfId="0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left" vertical="top"/>
    </xf>
    <xf numFmtId="0" fontId="2" fillId="0" borderId="5" xfId="0" applyNumberFormat="1" applyFont="1" applyFill="1" applyBorder="1" applyAlignment="1">
      <alignment horizontal="left" vertical="top"/>
    </xf>
    <xf numFmtId="0" fontId="2" fillId="0" borderId="2" xfId="0" applyNumberFormat="1" applyFont="1" applyFill="1" applyBorder="1" applyAlignment="1">
      <alignment horizontal="center" vertical="top"/>
    </xf>
    <xf numFmtId="49" fontId="2" fillId="0" borderId="2" xfId="0" applyNumberFormat="1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4" fontId="2" fillId="6" borderId="2" xfId="0" applyNumberFormat="1" applyFont="1" applyFill="1" applyBorder="1" applyAlignment="1">
      <alignment horizontal="right"/>
    </xf>
    <xf numFmtId="0" fontId="7" fillId="0" borderId="0" xfId="0" applyNumberFormat="1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center" vertical="top" wrapText="1"/>
    </xf>
    <xf numFmtId="164" fontId="19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/>
    <xf numFmtId="49" fontId="2" fillId="0" borderId="0" xfId="0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/>
    </xf>
    <xf numFmtId="169" fontId="2" fillId="0" borderId="0" xfId="0" applyNumberFormat="1" applyFont="1" applyFill="1" applyBorder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right"/>
    </xf>
    <xf numFmtId="49" fontId="2" fillId="0" borderId="0" xfId="0" applyNumberFormat="1" applyFont="1" applyFill="1" applyAlignment="1">
      <alignment horizontal="center" vertical="top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center" vertical="top"/>
    </xf>
    <xf numFmtId="49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3" xfId="2" applyFont="1" applyFill="1" applyBorder="1" applyAlignment="1">
      <alignment horizontal="center" vertical="center" wrapText="1"/>
    </xf>
    <xf numFmtId="0" fontId="2" fillId="0" borderId="4" xfId="2" applyFont="1" applyFill="1" applyBorder="1" applyAlignment="1">
      <alignment horizontal="center" vertical="center" wrapText="1"/>
    </xf>
    <xf numFmtId="0" fontId="2" fillId="0" borderId="5" xfId="2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center" vertical="center"/>
    </xf>
    <xf numFmtId="0" fontId="14" fillId="0" borderId="0" xfId="0" applyFont="1" applyFill="1" applyAlignment="1">
      <alignment wrapText="1"/>
    </xf>
    <xf numFmtId="49" fontId="21" fillId="0" borderId="0" xfId="0" applyNumberFormat="1" applyFont="1" applyFill="1" applyAlignment="1">
      <alignment vertical="center"/>
    </xf>
    <xf numFmtId="0" fontId="21" fillId="0" borderId="0" xfId="0" applyFont="1" applyFill="1"/>
    <xf numFmtId="0" fontId="21" fillId="0" borderId="0" xfId="0" applyFont="1" applyFill="1" applyAlignment="1"/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" fillId="4" borderId="0" xfId="0" applyFont="1" applyFill="1"/>
    <xf numFmtId="49" fontId="2" fillId="4" borderId="2" xfId="2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justify" vertical="center" wrapText="1"/>
    </xf>
    <xf numFmtId="2" fontId="2" fillId="4" borderId="2" xfId="0" applyNumberFormat="1" applyFont="1" applyFill="1" applyBorder="1" applyAlignment="1">
      <alignment horizontal="center" vertical="center" wrapText="1"/>
    </xf>
    <xf numFmtId="2" fontId="2" fillId="4" borderId="2" xfId="2" applyNumberFormat="1" applyFont="1" applyFill="1" applyBorder="1" applyAlignment="1">
      <alignment horizontal="center" vertical="center" wrapText="1"/>
    </xf>
    <xf numFmtId="49" fontId="2" fillId="0" borderId="0" xfId="2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right"/>
    </xf>
    <xf numFmtId="166" fontId="2" fillId="0" borderId="0" xfId="0" applyNumberFormat="1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right" vertical="center" wrapText="1"/>
    </xf>
    <xf numFmtId="4" fontId="2" fillId="2" borderId="2" xfId="0" applyNumberFormat="1" applyFont="1" applyFill="1" applyBorder="1" applyAlignment="1">
      <alignment horizontal="right" vertical="center" wrapText="1"/>
    </xf>
    <xf numFmtId="2" fontId="2" fillId="0" borderId="2" xfId="0" applyNumberFormat="1" applyFont="1" applyFill="1" applyBorder="1" applyAlignment="1">
      <alignment horizontal="left" vertical="center" wrapText="1"/>
    </xf>
    <xf numFmtId="2" fontId="2" fillId="2" borderId="0" xfId="0" applyNumberFormat="1" applyFont="1" applyFill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left" vertical="center" wrapText="1"/>
    </xf>
    <xf numFmtId="2" fontId="2" fillId="0" borderId="6" xfId="0" applyNumberFormat="1" applyFont="1" applyFill="1" applyBorder="1" applyAlignment="1">
      <alignment horizontal="center" vertical="top" wrapText="1"/>
    </xf>
    <xf numFmtId="0" fontId="17" fillId="0" borderId="7" xfId="0" applyFont="1" applyFill="1" applyBorder="1" applyAlignment="1">
      <alignment horizontal="center" vertical="center" wrapText="1"/>
    </xf>
    <xf numFmtId="2" fontId="2" fillId="0" borderId="7" xfId="0" applyNumberFormat="1" applyFont="1" applyFill="1" applyBorder="1" applyAlignment="1">
      <alignment horizontal="center" vertical="top" wrapText="1"/>
    </xf>
    <xf numFmtId="0" fontId="17" fillId="0" borderId="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2" fontId="2" fillId="0" borderId="8" xfId="0" applyNumberFormat="1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horizontal="left" vertical="top"/>
    </xf>
    <xf numFmtId="2" fontId="2" fillId="0" borderId="2" xfId="0" applyNumberFormat="1" applyFont="1" applyFill="1" applyBorder="1" applyAlignment="1">
      <alignment horizontal="left" vertical="center"/>
    </xf>
    <xf numFmtId="0" fontId="2" fillId="0" borderId="8" xfId="0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2" fontId="11" fillId="0" borderId="2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49" fontId="14" fillId="0" borderId="2" xfId="0" applyNumberFormat="1" applyFont="1" applyFill="1" applyBorder="1" applyAlignment="1">
      <alignment horizontal="left" vertical="center" wrapText="1"/>
    </xf>
    <xf numFmtId="4" fontId="14" fillId="0" borderId="2" xfId="0" applyNumberFormat="1" applyFont="1" applyFill="1" applyBorder="1" applyAlignment="1">
      <alignment horizontal="right" vertical="center"/>
    </xf>
    <xf numFmtId="4" fontId="14" fillId="2" borderId="2" xfId="0" applyNumberFormat="1" applyFont="1" applyFill="1" applyBorder="1" applyAlignment="1">
      <alignment horizontal="right" vertical="center"/>
    </xf>
    <xf numFmtId="0" fontId="15" fillId="0" borderId="2" xfId="0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left" vertical="center"/>
    </xf>
    <xf numFmtId="0" fontId="23" fillId="0" borderId="13" xfId="0" applyFont="1" applyFill="1" applyBorder="1" applyAlignment="1">
      <alignment horizontal="center" textRotation="90"/>
    </xf>
    <xf numFmtId="0" fontId="23" fillId="0" borderId="0" xfId="0" applyFont="1" applyFill="1" applyAlignment="1">
      <alignment vertical="top" wrapText="1"/>
    </xf>
    <xf numFmtId="0" fontId="2" fillId="0" borderId="0" xfId="0" applyFont="1" applyFill="1" applyAlignment="1">
      <alignment wrapText="1"/>
    </xf>
    <xf numFmtId="0" fontId="23" fillId="0" borderId="0" xfId="0" applyFont="1" applyFill="1" applyBorder="1" applyAlignment="1">
      <alignment horizontal="center" textRotation="90"/>
    </xf>
    <xf numFmtId="0" fontId="2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right" vertical="center"/>
    </xf>
    <xf numFmtId="49" fontId="7" fillId="0" borderId="2" xfId="0" applyNumberFormat="1" applyFont="1" applyFill="1" applyBorder="1" applyAlignment="1">
      <alignment horizontal="left" vertical="center"/>
    </xf>
    <xf numFmtId="49" fontId="11" fillId="0" borderId="2" xfId="0" applyNumberFormat="1" applyFont="1" applyFill="1" applyBorder="1" applyAlignment="1">
      <alignment horizontal="left" vertical="center"/>
    </xf>
    <xf numFmtId="49" fontId="6" fillId="2" borderId="2" xfId="0" applyNumberFormat="1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center" wrapText="1"/>
    </xf>
    <xf numFmtId="49" fontId="11" fillId="2" borderId="2" xfId="0" applyNumberFormat="1" applyFont="1" applyFill="1" applyBorder="1" applyAlignment="1">
      <alignment horizontal="left" vertical="center"/>
    </xf>
    <xf numFmtId="4" fontId="18" fillId="0" borderId="2" xfId="0" applyNumberFormat="1" applyFont="1" applyFill="1" applyBorder="1" applyAlignment="1">
      <alignment horizontal="right" vertical="center"/>
    </xf>
    <xf numFmtId="4" fontId="18" fillId="2" borderId="2" xfId="0" applyNumberFormat="1" applyFont="1" applyFill="1" applyBorder="1" applyAlignment="1">
      <alignment horizontal="right" vertical="center"/>
    </xf>
    <xf numFmtId="49" fontId="6" fillId="2" borderId="2" xfId="0" applyNumberFormat="1" applyFont="1" applyFill="1" applyBorder="1" applyAlignment="1">
      <alignment horizontal="center" vertical="top"/>
    </xf>
    <xf numFmtId="49" fontId="17" fillId="2" borderId="2" xfId="0" applyNumberFormat="1" applyFont="1" applyFill="1" applyBorder="1" applyAlignment="1">
      <alignment horizontal="left" vertical="center"/>
    </xf>
    <xf numFmtId="0" fontId="17" fillId="7" borderId="2" xfId="0" applyFont="1" applyFill="1" applyBorder="1" applyAlignment="1">
      <alignment horizontal="left" vertical="center" wrapText="1"/>
    </xf>
    <xf numFmtId="49" fontId="2" fillId="4" borderId="2" xfId="0" applyNumberFormat="1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left" vertical="center"/>
    </xf>
    <xf numFmtId="49" fontId="2" fillId="2" borderId="2" xfId="0" applyNumberFormat="1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 wrapText="1"/>
    </xf>
    <xf numFmtId="49" fontId="7" fillId="5" borderId="6" xfId="0" applyNumberFormat="1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left" vertical="center" wrapText="1"/>
    </xf>
    <xf numFmtId="49" fontId="2" fillId="5" borderId="2" xfId="0" applyNumberFormat="1" applyFont="1" applyFill="1" applyBorder="1" applyAlignment="1">
      <alignment horizontal="left" vertical="center" wrapText="1"/>
    </xf>
    <xf numFmtId="49" fontId="11" fillId="5" borderId="2" xfId="0" applyNumberFormat="1" applyFont="1" applyFill="1" applyBorder="1" applyAlignment="1">
      <alignment horizontal="left" vertical="center"/>
    </xf>
    <xf numFmtId="0" fontId="11" fillId="5" borderId="2" xfId="0" applyFont="1" applyFill="1" applyBorder="1" applyAlignment="1">
      <alignment horizontal="left" vertical="center"/>
    </xf>
    <xf numFmtId="4" fontId="2" fillId="5" borderId="2" xfId="0" applyNumberFormat="1" applyFont="1" applyFill="1" applyBorder="1" applyAlignment="1">
      <alignment horizontal="right" vertical="center"/>
    </xf>
    <xf numFmtId="4" fontId="2" fillId="5" borderId="2" xfId="0" applyNumberFormat="1" applyFont="1" applyFill="1" applyBorder="1" applyAlignment="1">
      <alignment horizontal="right" vertical="center" wrapText="1"/>
    </xf>
    <xf numFmtId="0" fontId="2" fillId="5" borderId="6" xfId="0" applyFont="1" applyFill="1" applyBorder="1" applyAlignment="1">
      <alignment horizontal="center" vertical="center" wrapText="1"/>
    </xf>
    <xf numFmtId="49" fontId="7" fillId="5" borderId="7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 wrapText="1"/>
    </xf>
    <xf numFmtId="0" fontId="2" fillId="5" borderId="8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center" vertical="center" wrapText="1"/>
    </xf>
    <xf numFmtId="49" fontId="7" fillId="5" borderId="8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1" fillId="2" borderId="2" xfId="0" applyNumberFormat="1" applyFont="1" applyFill="1" applyBorder="1" applyAlignment="1">
      <alignment horizontal="left" vertical="top"/>
    </xf>
    <xf numFmtId="0" fontId="21" fillId="2" borderId="2" xfId="0" applyNumberFormat="1" applyFont="1" applyFill="1" applyBorder="1" applyAlignment="1">
      <alignment horizontal="center" vertical="top"/>
    </xf>
    <xf numFmtId="4" fontId="21" fillId="2" borderId="2" xfId="0" applyNumberFormat="1" applyFont="1" applyFill="1" applyBorder="1" applyAlignment="1">
      <alignment horizontal="right" vertical="center"/>
    </xf>
    <xf numFmtId="4" fontId="21" fillId="0" borderId="2" xfId="0" applyNumberFormat="1" applyFont="1" applyFill="1" applyBorder="1" applyAlignment="1">
      <alignment horizontal="right" vertical="center"/>
    </xf>
    <xf numFmtId="4" fontId="21" fillId="2" borderId="2" xfId="0" applyNumberFormat="1" applyFont="1" applyFill="1" applyBorder="1"/>
    <xf numFmtId="0" fontId="21" fillId="2" borderId="2" xfId="0" applyFont="1" applyFill="1" applyBorder="1" applyAlignment="1">
      <alignment horizontal="center" vertical="top" wrapText="1"/>
    </xf>
    <xf numFmtId="0" fontId="21" fillId="2" borderId="2" xfId="0" applyFont="1" applyFill="1" applyBorder="1"/>
    <xf numFmtId="0" fontId="2" fillId="0" borderId="0" xfId="0" applyFont="1" applyFill="1" applyAlignment="1">
      <alignment vertical="center"/>
    </xf>
    <xf numFmtId="4" fontId="21" fillId="2" borderId="2" xfId="0" applyNumberFormat="1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4" fontId="16" fillId="0" borderId="0" xfId="0" applyNumberFormat="1" applyFont="1" applyFill="1" applyBorder="1" applyAlignment="1">
      <alignment horizontal="left"/>
    </xf>
    <xf numFmtId="4" fontId="16" fillId="2" borderId="0" xfId="0" applyNumberFormat="1" applyFont="1" applyFill="1" applyBorder="1" applyAlignment="1">
      <alignment horizontal="left"/>
    </xf>
    <xf numFmtId="0" fontId="16" fillId="0" borderId="0" xfId="0" applyFont="1" applyFill="1" applyBorder="1" applyAlignment="1">
      <alignment horizontal="right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/>
    </xf>
    <xf numFmtId="0" fontId="6" fillId="0" borderId="0" xfId="2" applyFont="1" applyFill="1" applyAlignment="1">
      <alignment horizontal="left" vertical="top" wrapText="1"/>
    </xf>
    <xf numFmtId="0" fontId="4" fillId="0" borderId="0" xfId="2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left" vertical="center" wrapText="1"/>
    </xf>
    <xf numFmtId="0" fontId="2" fillId="0" borderId="4" xfId="2" applyFont="1" applyFill="1" applyBorder="1" applyAlignment="1">
      <alignment horizontal="left" vertical="center" wrapText="1"/>
    </xf>
    <xf numFmtId="0" fontId="2" fillId="0" borderId="5" xfId="2" applyFont="1" applyFill="1" applyBorder="1" applyAlignment="1">
      <alignment horizontal="left" vertical="center" wrapText="1"/>
    </xf>
    <xf numFmtId="14" fontId="2" fillId="0" borderId="2" xfId="2" applyNumberFormat="1" applyFont="1" applyFill="1" applyBorder="1" applyAlignment="1">
      <alignment vertical="center" wrapText="1"/>
    </xf>
    <xf numFmtId="49" fontId="2" fillId="0" borderId="2" xfId="2" applyNumberFormat="1" applyFont="1" applyFill="1" applyBorder="1" applyAlignment="1">
      <alignment vertical="center"/>
    </xf>
    <xf numFmtId="0" fontId="2" fillId="0" borderId="2" xfId="2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right"/>
    </xf>
    <xf numFmtId="0" fontId="25" fillId="0" borderId="0" xfId="0" applyFont="1" applyFill="1"/>
    <xf numFmtId="0" fontId="26" fillId="0" borderId="0" xfId="0" applyFont="1" applyFill="1"/>
    <xf numFmtId="168" fontId="6" fillId="0" borderId="0" xfId="0" applyNumberFormat="1" applyFont="1" applyFill="1" applyBorder="1" applyAlignment="1">
      <alignment horizontal="left" vertical="top" wrapText="1"/>
    </xf>
    <xf numFmtId="0" fontId="6" fillId="0" borderId="0" xfId="2" applyFont="1" applyFill="1" applyAlignment="1">
      <alignment vertical="top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2" fillId="0" borderId="6" xfId="2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left" vertical="center" wrapText="1"/>
    </xf>
    <xf numFmtId="0" fontId="27" fillId="0" borderId="6" xfId="0" applyFont="1" applyFill="1" applyBorder="1" applyAlignment="1">
      <alignment horizontal="left" vertical="center" wrapText="1"/>
    </xf>
    <xf numFmtId="0" fontId="2" fillId="0" borderId="7" xfId="2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vertical="center"/>
    </xf>
    <xf numFmtId="0" fontId="2" fillId="0" borderId="8" xfId="2" applyFont="1" applyFill="1" applyBorder="1" applyAlignment="1">
      <alignment horizontal="left" vertical="center" wrapText="1"/>
    </xf>
    <xf numFmtId="170" fontId="2" fillId="0" borderId="2" xfId="0" applyNumberFormat="1" applyFont="1" applyFill="1" applyBorder="1" applyAlignment="1">
      <alignment horizontal="center" vertical="center"/>
    </xf>
    <xf numFmtId="164" fontId="18" fillId="0" borderId="2" xfId="0" applyNumberFormat="1" applyFont="1" applyFill="1" applyBorder="1" applyAlignment="1">
      <alignment horizontal="center" vertical="center"/>
    </xf>
    <xf numFmtId="164" fontId="18" fillId="2" borderId="2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left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169" fontId="2" fillId="0" borderId="2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164" fontId="14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top" wrapText="1"/>
    </xf>
    <xf numFmtId="0" fontId="28" fillId="0" borderId="2" xfId="0" applyFont="1" applyFill="1" applyBorder="1" applyAlignment="1">
      <alignment horizontal="left" vertical="center"/>
    </xf>
    <xf numFmtId="49" fontId="6" fillId="2" borderId="6" xfId="0" applyNumberFormat="1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left" vertical="top" wrapText="1"/>
    </xf>
    <xf numFmtId="170" fontId="2" fillId="2" borderId="2" xfId="0" applyNumberFormat="1" applyFont="1" applyFill="1" applyBorder="1" applyAlignment="1">
      <alignment horizontal="center" vertical="center"/>
    </xf>
    <xf numFmtId="49" fontId="6" fillId="2" borderId="8" xfId="0" applyNumberFormat="1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left" vertical="top" wrapText="1"/>
    </xf>
    <xf numFmtId="49" fontId="6" fillId="2" borderId="6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0" fontId="14" fillId="2" borderId="7" xfId="0" applyFont="1" applyFill="1" applyBorder="1" applyAlignment="1">
      <alignment horizontal="center" vertical="top" wrapText="1"/>
    </xf>
    <xf numFmtId="49" fontId="6" fillId="2" borderId="8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center" vertical="top" wrapText="1"/>
    </xf>
    <xf numFmtId="164" fontId="29" fillId="0" borderId="0" xfId="1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/>
    <xf numFmtId="164" fontId="2" fillId="2" borderId="0" xfId="0" applyNumberFormat="1" applyFont="1" applyFill="1" applyBorder="1"/>
    <xf numFmtId="0" fontId="6" fillId="0" borderId="0" xfId="0" applyFont="1" applyFill="1" applyBorder="1"/>
    <xf numFmtId="0" fontId="30" fillId="0" borderId="0" xfId="0" applyFont="1" applyFill="1" applyBorder="1" applyAlignment="1">
      <alignment horizontal="left"/>
    </xf>
    <xf numFmtId="0" fontId="30" fillId="0" borderId="0" xfId="0" applyFont="1" applyFill="1" applyBorder="1" applyAlignment="1">
      <alignment horizontal="left"/>
    </xf>
    <xf numFmtId="0" fontId="21" fillId="0" borderId="0" xfId="0" applyFont="1" applyFill="1" applyBorder="1" applyAlignment="1">
      <alignment horizontal="right"/>
    </xf>
    <xf numFmtId="0" fontId="21" fillId="2" borderId="0" xfId="0" applyFont="1" applyFill="1"/>
    <xf numFmtId="0" fontId="30" fillId="0" borderId="0" xfId="0" applyFont="1" applyFill="1" applyBorder="1" applyAlignment="1">
      <alignment horizontal="right"/>
    </xf>
    <xf numFmtId="0" fontId="23" fillId="0" borderId="0" xfId="0" applyFont="1" applyFill="1"/>
    <xf numFmtId="0" fontId="2" fillId="0" borderId="2" xfId="2" applyFont="1" applyFill="1" applyBorder="1" applyAlignment="1">
      <alignment horizontal="left" vertical="center" wrapText="1"/>
    </xf>
    <xf numFmtId="0" fontId="8" fillId="0" borderId="2" xfId="0" applyFont="1" applyFill="1" applyBorder="1"/>
    <xf numFmtId="0" fontId="2" fillId="8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14" fontId="2" fillId="0" borderId="2" xfId="2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/>
    </xf>
    <xf numFmtId="165" fontId="2" fillId="2" borderId="0" xfId="0" applyNumberFormat="1" applyFont="1" applyFill="1" applyBorder="1"/>
    <xf numFmtId="0" fontId="2" fillId="0" borderId="0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164" fontId="2" fillId="0" borderId="6" xfId="0" applyNumberFormat="1" applyFont="1" applyFill="1" applyBorder="1" applyAlignment="1">
      <alignment horizontal="right" vertical="center"/>
    </xf>
    <xf numFmtId="164" fontId="2" fillId="2" borderId="6" xfId="0" applyNumberFormat="1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left" vertical="center" wrapText="1"/>
    </xf>
    <xf numFmtId="164" fontId="2" fillId="0" borderId="2" xfId="0" applyNumberFormat="1" applyFont="1" applyFill="1" applyBorder="1" applyAlignment="1">
      <alignment horizontal="right" vertical="center"/>
    </xf>
    <xf numFmtId="164" fontId="2" fillId="2" borderId="2" xfId="0" applyNumberFormat="1" applyFont="1" applyFill="1" applyBorder="1" applyAlignment="1">
      <alignment horizontal="right" vertical="center"/>
    </xf>
    <xf numFmtId="49" fontId="7" fillId="0" borderId="7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49" fontId="21" fillId="0" borderId="2" xfId="0" applyNumberFormat="1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center" vertical="center" wrapText="1"/>
    </xf>
    <xf numFmtId="49" fontId="21" fillId="0" borderId="2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top" wrapText="1"/>
    </xf>
    <xf numFmtId="0" fontId="21" fillId="0" borderId="2" xfId="0" applyFont="1" applyFill="1" applyBorder="1"/>
    <xf numFmtId="0" fontId="21" fillId="0" borderId="2" xfId="0" applyNumberFormat="1" applyFont="1" applyFill="1" applyBorder="1" applyAlignment="1">
      <alignment horizontal="left" vertical="center"/>
    </xf>
    <xf numFmtId="0" fontId="21" fillId="0" borderId="2" xfId="0" applyFont="1" applyFill="1" applyBorder="1" applyAlignment="1">
      <alignment vertical="center" wrapText="1"/>
    </xf>
    <xf numFmtId="0" fontId="31" fillId="0" borderId="0" xfId="0" applyFont="1" applyFill="1" applyBorder="1" applyAlignment="1">
      <alignment horizontal="left" wrapText="1"/>
    </xf>
    <xf numFmtId="0" fontId="31" fillId="0" borderId="0" xfId="0" applyFont="1" applyFill="1" applyBorder="1" applyAlignment="1">
      <alignment horizontal="left"/>
    </xf>
    <xf numFmtId="0" fontId="32" fillId="0" borderId="0" xfId="0" applyFont="1" applyFill="1" applyBorder="1" applyAlignment="1">
      <alignment horizontal="right"/>
    </xf>
    <xf numFmtId="0" fontId="32" fillId="0" borderId="0" xfId="0" applyFont="1" applyFill="1"/>
    <xf numFmtId="0" fontId="32" fillId="0" borderId="0" xfId="0" applyFont="1" applyFill="1" applyAlignment="1">
      <alignment horizontal="center" vertical="center"/>
    </xf>
    <xf numFmtId="165" fontId="32" fillId="0" borderId="0" xfId="0" applyNumberFormat="1" applyFont="1" applyFill="1"/>
    <xf numFmtId="0" fontId="32" fillId="2" borderId="0" xfId="0" applyFont="1" applyFill="1"/>
    <xf numFmtId="0" fontId="31" fillId="0" borderId="0" xfId="0" applyFont="1" applyFill="1" applyBorder="1" applyAlignment="1">
      <alignment horizontal="right"/>
    </xf>
  </cellXfs>
  <cellStyles count="3">
    <cellStyle name="Обычный" xfId="0" builtinId="0"/>
    <cellStyle name="Обычный 2" xfId="2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103;_1_2%20&#1082;%20&#1087;&#1072;&#1089;&#1087;&#1086;&#1088;&#1090;&#1091;%20&#1052;&#105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казатели"/>
      <sheetName val="Долгосрочные показатели 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zoomScale="70" zoomScaleNormal="70" workbookViewId="0">
      <selection activeCell="C18" sqref="C18"/>
    </sheetView>
  </sheetViews>
  <sheetFormatPr defaultColWidth="9.28515625" defaultRowHeight="15.75" x14ac:dyDescent="0.25"/>
  <cols>
    <col min="1" max="1" width="18.5703125" style="1" customWidth="1"/>
    <col min="2" max="2" width="22.28515625" style="1" customWidth="1"/>
    <col min="3" max="3" width="25.28515625" style="1" customWidth="1"/>
    <col min="4" max="7" width="9.28515625" style="1"/>
    <col min="8" max="8" width="13.7109375" style="1" customWidth="1"/>
    <col min="9" max="10" width="15.42578125" style="1" customWidth="1"/>
    <col min="11" max="11" width="15.42578125" style="53" customWidth="1"/>
    <col min="12" max="16" width="15.42578125" style="1" customWidth="1"/>
    <col min="17" max="17" width="17" style="1" customWidth="1"/>
    <col min="18" max="16384" width="9.28515625" style="1"/>
  </cols>
  <sheetData>
    <row r="1" spans="1:18" ht="58.5" customHeight="1" x14ac:dyDescent="0.25">
      <c r="J1" s="2"/>
      <c r="K1" s="3"/>
      <c r="L1" s="4"/>
      <c r="M1" s="5" t="s">
        <v>0</v>
      </c>
      <c r="N1" s="5"/>
      <c r="O1" s="5"/>
      <c r="P1" s="5"/>
      <c r="Q1" s="5"/>
    </row>
    <row r="2" spans="1:18" ht="30" customHeight="1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8" ht="18.75" customHeight="1" x14ac:dyDescent="0.25">
      <c r="A3" s="7" t="s">
        <v>2</v>
      </c>
      <c r="B3" s="7" t="s">
        <v>3</v>
      </c>
      <c r="C3" s="7" t="s">
        <v>4</v>
      </c>
      <c r="D3" s="7" t="s">
        <v>5</v>
      </c>
      <c r="E3" s="7"/>
      <c r="F3" s="7"/>
      <c r="G3" s="7"/>
      <c r="H3" s="8" t="s">
        <v>6</v>
      </c>
      <c r="I3" s="9"/>
      <c r="J3" s="9"/>
      <c r="K3" s="9"/>
      <c r="L3" s="9"/>
      <c r="M3" s="9"/>
      <c r="N3" s="9"/>
      <c r="O3" s="9"/>
      <c r="P3" s="9"/>
      <c r="Q3" s="10"/>
    </row>
    <row r="4" spans="1:18" ht="49.5" customHeight="1" x14ac:dyDescent="0.25">
      <c r="A4" s="7"/>
      <c r="B4" s="7"/>
      <c r="C4" s="7"/>
      <c r="D4" s="11" t="s">
        <v>7</v>
      </c>
      <c r="E4" s="11" t="s">
        <v>8</v>
      </c>
      <c r="F4" s="11" t="s">
        <v>9</v>
      </c>
      <c r="G4" s="11" t="s">
        <v>10</v>
      </c>
      <c r="H4" s="11">
        <v>2014</v>
      </c>
      <c r="I4" s="11">
        <v>2015</v>
      </c>
      <c r="J4" s="11">
        <v>2016</v>
      </c>
      <c r="K4" s="12">
        <v>2017</v>
      </c>
      <c r="L4" s="11">
        <v>2018</v>
      </c>
      <c r="M4" s="12">
        <v>2019</v>
      </c>
      <c r="N4" s="12">
        <v>2020</v>
      </c>
      <c r="O4" s="12">
        <v>2021</v>
      </c>
      <c r="P4" s="12">
        <v>2022</v>
      </c>
      <c r="Q4" s="11" t="s">
        <v>11</v>
      </c>
    </row>
    <row r="5" spans="1:18" ht="48" customHeight="1" x14ac:dyDescent="0.25">
      <c r="A5" s="13" t="s">
        <v>12</v>
      </c>
      <c r="B5" s="14" t="s">
        <v>13</v>
      </c>
      <c r="C5" s="15" t="s">
        <v>14</v>
      </c>
      <c r="D5" s="16" t="s">
        <v>15</v>
      </c>
      <c r="E5" s="16" t="s">
        <v>15</v>
      </c>
      <c r="F5" s="16" t="s">
        <v>15</v>
      </c>
      <c r="G5" s="16" t="s">
        <v>15</v>
      </c>
      <c r="H5" s="17">
        <f t="shared" ref="H5:O5" si="0">H7+H8+H9+H10</f>
        <v>447829.6</v>
      </c>
      <c r="I5" s="17">
        <f t="shared" si="0"/>
        <v>473625.60000000003</v>
      </c>
      <c r="J5" s="18">
        <f t="shared" si="0"/>
        <v>511729.7</v>
      </c>
      <c r="K5" s="18">
        <f t="shared" si="0"/>
        <v>523227.99999999994</v>
      </c>
      <c r="L5" s="18">
        <f t="shared" si="0"/>
        <v>549349</v>
      </c>
      <c r="M5" s="17">
        <f t="shared" si="0"/>
        <v>614389.60000000009</v>
      </c>
      <c r="N5" s="17">
        <f t="shared" si="0"/>
        <v>617527.69999999995</v>
      </c>
      <c r="O5" s="17">
        <f t="shared" si="0"/>
        <v>607902.70000000007</v>
      </c>
      <c r="P5" s="17">
        <f>P7+P8+P9+P10-0.1</f>
        <v>603093.5</v>
      </c>
      <c r="Q5" s="17">
        <f>SUM(H5:P5)</f>
        <v>4948675.4000000004</v>
      </c>
    </row>
    <row r="6" spans="1:18" x14ac:dyDescent="0.25">
      <c r="A6" s="19"/>
      <c r="B6" s="20"/>
      <c r="C6" s="15" t="s">
        <v>16</v>
      </c>
      <c r="D6" s="21"/>
      <c r="E6" s="21"/>
      <c r="F6" s="21"/>
      <c r="G6" s="21"/>
      <c r="H6" s="21"/>
      <c r="I6" s="22"/>
      <c r="J6" s="22"/>
      <c r="K6" s="23"/>
      <c r="L6" s="23"/>
      <c r="M6" s="22"/>
      <c r="N6" s="22"/>
      <c r="O6" s="22"/>
      <c r="P6" s="17">
        <f t="shared" ref="P6:P26" si="1">O6</f>
        <v>0</v>
      </c>
      <c r="Q6" s="17">
        <f t="shared" ref="Q6:Q26" si="2">SUM(H6:P6)</f>
        <v>0</v>
      </c>
    </row>
    <row r="7" spans="1:18" ht="51.75" customHeight="1" x14ac:dyDescent="0.25">
      <c r="A7" s="19"/>
      <c r="B7" s="20"/>
      <c r="C7" s="15" t="s">
        <v>17</v>
      </c>
      <c r="D7" s="24" t="s">
        <v>18</v>
      </c>
      <c r="E7" s="16" t="s">
        <v>15</v>
      </c>
      <c r="F7" s="16" t="s">
        <v>15</v>
      </c>
      <c r="G7" s="16" t="s">
        <v>15</v>
      </c>
      <c r="H7" s="25">
        <f t="shared" ref="H7:P7" si="3">H13+H18+H21+H24</f>
        <v>426153.3</v>
      </c>
      <c r="I7" s="25">
        <f t="shared" si="3"/>
        <v>451251.20000000001</v>
      </c>
      <c r="J7" s="25">
        <f t="shared" si="3"/>
        <v>486929.2</v>
      </c>
      <c r="K7" s="26">
        <f t="shared" si="3"/>
        <v>498675.49999999994</v>
      </c>
      <c r="L7" s="26">
        <f t="shared" si="3"/>
        <v>523112</v>
      </c>
      <c r="M7" s="25">
        <f t="shared" si="3"/>
        <v>587737.9</v>
      </c>
      <c r="N7" s="25">
        <f t="shared" si="3"/>
        <v>599163.19999999995</v>
      </c>
      <c r="O7" s="25">
        <f t="shared" si="3"/>
        <v>585729.80000000005</v>
      </c>
      <c r="P7" s="25">
        <f t="shared" si="3"/>
        <v>583976.69999999995</v>
      </c>
      <c r="Q7" s="17">
        <f t="shared" si="2"/>
        <v>4742728.8</v>
      </c>
      <c r="R7" s="27"/>
    </row>
    <row r="8" spans="1:18" ht="49.5" hidden="1" customHeight="1" x14ac:dyDescent="0.25">
      <c r="A8" s="19"/>
      <c r="B8" s="20"/>
      <c r="C8" s="28" t="s">
        <v>19</v>
      </c>
      <c r="D8" s="29" t="s">
        <v>20</v>
      </c>
      <c r="E8" s="16" t="s">
        <v>15</v>
      </c>
      <c r="F8" s="16" t="s">
        <v>15</v>
      </c>
      <c r="G8" s="16" t="s">
        <v>15</v>
      </c>
      <c r="H8" s="25"/>
      <c r="I8" s="25"/>
      <c r="J8" s="25"/>
      <c r="K8" s="26"/>
      <c r="L8" s="26"/>
      <c r="M8" s="25">
        <f>M17</f>
        <v>0</v>
      </c>
      <c r="N8" s="25"/>
      <c r="O8" s="25"/>
      <c r="P8" s="17">
        <f t="shared" si="1"/>
        <v>0</v>
      </c>
      <c r="Q8" s="17">
        <f t="shared" si="2"/>
        <v>0</v>
      </c>
    </row>
    <row r="9" spans="1:18" ht="39.950000000000003" customHeight="1" x14ac:dyDescent="0.25">
      <c r="A9" s="19"/>
      <c r="B9" s="20"/>
      <c r="C9" s="30" t="s">
        <v>21</v>
      </c>
      <c r="D9" s="24" t="s">
        <v>22</v>
      </c>
      <c r="E9" s="16" t="s">
        <v>15</v>
      </c>
      <c r="F9" s="16" t="s">
        <v>15</v>
      </c>
      <c r="G9" s="16" t="s">
        <v>15</v>
      </c>
      <c r="H9" s="25">
        <f t="shared" ref="H9:N9" si="4">H26</f>
        <v>14153.1</v>
      </c>
      <c r="I9" s="25">
        <f t="shared" si="4"/>
        <v>14936.4</v>
      </c>
      <c r="J9" s="25">
        <f t="shared" si="4"/>
        <v>15316.7</v>
      </c>
      <c r="K9" s="26">
        <f t="shared" si="4"/>
        <v>15372.5</v>
      </c>
      <c r="L9" s="26">
        <f t="shared" si="4"/>
        <v>15995.1</v>
      </c>
      <c r="M9" s="25">
        <f t="shared" si="4"/>
        <v>16743.8</v>
      </c>
      <c r="N9" s="25">
        <f t="shared" si="4"/>
        <v>18364.5</v>
      </c>
      <c r="O9" s="25">
        <f>O26</f>
        <v>16061</v>
      </c>
      <c r="P9" s="17">
        <f t="shared" si="1"/>
        <v>16061</v>
      </c>
      <c r="Q9" s="17">
        <f t="shared" si="2"/>
        <v>143004.1</v>
      </c>
    </row>
    <row r="10" spans="1:18" ht="39.950000000000003" customHeight="1" x14ac:dyDescent="0.25">
      <c r="A10" s="31"/>
      <c r="B10" s="32"/>
      <c r="C10" s="30" t="s">
        <v>19</v>
      </c>
      <c r="D10" s="24" t="s">
        <v>20</v>
      </c>
      <c r="E10" s="16" t="s">
        <v>15</v>
      </c>
      <c r="F10" s="16" t="s">
        <v>15</v>
      </c>
      <c r="G10" s="16" t="s">
        <v>15</v>
      </c>
      <c r="H10" s="25">
        <f t="shared" ref="H10:N10" si="5">H25</f>
        <v>7523.2</v>
      </c>
      <c r="I10" s="25">
        <f t="shared" si="5"/>
        <v>7438</v>
      </c>
      <c r="J10" s="25">
        <f t="shared" si="5"/>
        <v>9483.7999999999993</v>
      </c>
      <c r="K10" s="26">
        <f t="shared" si="5"/>
        <v>9180</v>
      </c>
      <c r="L10" s="26">
        <f t="shared" si="5"/>
        <v>10241.9</v>
      </c>
      <c r="M10" s="25">
        <f t="shared" si="5"/>
        <v>9907.9</v>
      </c>
      <c r="N10" s="25">
        <f t="shared" si="5"/>
        <v>0</v>
      </c>
      <c r="O10" s="25">
        <f>O25</f>
        <v>6111.9</v>
      </c>
      <c r="P10" s="25">
        <f>P25</f>
        <v>3055.9</v>
      </c>
      <c r="Q10" s="17">
        <f t="shared" si="2"/>
        <v>62942.600000000006</v>
      </c>
    </row>
    <row r="11" spans="1:18" ht="46.5" customHeight="1" x14ac:dyDescent="0.25">
      <c r="A11" s="33" t="s">
        <v>23</v>
      </c>
      <c r="B11" s="33" t="s">
        <v>24</v>
      </c>
      <c r="C11" s="30" t="s">
        <v>14</v>
      </c>
      <c r="D11" s="34" t="s">
        <v>15</v>
      </c>
      <c r="E11" s="35" t="s">
        <v>15</v>
      </c>
      <c r="F11" s="34" t="s">
        <v>15</v>
      </c>
      <c r="G11" s="36" t="s">
        <v>15</v>
      </c>
      <c r="H11" s="25">
        <f t="shared" ref="H11:O11" si="6">H13+H14</f>
        <v>198091.6</v>
      </c>
      <c r="I11" s="25">
        <f t="shared" si="6"/>
        <v>204824.6</v>
      </c>
      <c r="J11" s="25">
        <f t="shared" si="6"/>
        <v>219030.5</v>
      </c>
      <c r="K11" s="26">
        <f t="shared" si="6"/>
        <v>218633.1</v>
      </c>
      <c r="L11" s="26">
        <f t="shared" si="6"/>
        <v>229336.9</v>
      </c>
      <c r="M11" s="25">
        <f t="shared" si="6"/>
        <v>267495.40000000002</v>
      </c>
      <c r="N11" s="25">
        <f t="shared" si="6"/>
        <v>279520</v>
      </c>
      <c r="O11" s="25">
        <f t="shared" si="6"/>
        <v>270838.40000000002</v>
      </c>
      <c r="P11" s="17">
        <f t="shared" si="1"/>
        <v>270838.40000000002</v>
      </c>
      <c r="Q11" s="17">
        <f t="shared" si="2"/>
        <v>2158608.9</v>
      </c>
    </row>
    <row r="12" spans="1:18" x14ac:dyDescent="0.25">
      <c r="A12" s="33"/>
      <c r="B12" s="33"/>
      <c r="C12" s="30" t="s">
        <v>16</v>
      </c>
      <c r="D12" s="37"/>
      <c r="E12" s="38"/>
      <c r="F12" s="37"/>
      <c r="G12" s="39"/>
      <c r="H12" s="39"/>
      <c r="I12" s="25"/>
      <c r="J12" s="25"/>
      <c r="K12" s="26"/>
      <c r="L12" s="26"/>
      <c r="M12" s="25"/>
      <c r="N12" s="25"/>
      <c r="O12" s="25"/>
      <c r="P12" s="17">
        <f t="shared" si="1"/>
        <v>0</v>
      </c>
      <c r="Q12" s="17">
        <f t="shared" si="2"/>
        <v>0</v>
      </c>
    </row>
    <row r="13" spans="1:18" ht="55.5" customHeight="1" x14ac:dyDescent="0.25">
      <c r="A13" s="33"/>
      <c r="B13" s="33"/>
      <c r="C13" s="15" t="s">
        <v>17</v>
      </c>
      <c r="D13" s="35" t="s">
        <v>18</v>
      </c>
      <c r="E13" s="35" t="s">
        <v>15</v>
      </c>
      <c r="F13" s="34" t="s">
        <v>15</v>
      </c>
      <c r="G13" s="36" t="s">
        <v>15</v>
      </c>
      <c r="H13" s="25">
        <v>198091.6</v>
      </c>
      <c r="I13" s="25">
        <v>204824.6</v>
      </c>
      <c r="J13" s="25">
        <v>219030.5</v>
      </c>
      <c r="K13" s="26">
        <v>218633.1</v>
      </c>
      <c r="L13" s="26">
        <v>229336.9</v>
      </c>
      <c r="M13" s="25">
        <v>267495.40000000002</v>
      </c>
      <c r="N13" s="25">
        <v>279520</v>
      </c>
      <c r="O13" s="25">
        <v>270838.40000000002</v>
      </c>
      <c r="P13" s="17">
        <f t="shared" si="1"/>
        <v>270838.40000000002</v>
      </c>
      <c r="Q13" s="17">
        <f t="shared" si="2"/>
        <v>2158608.9</v>
      </c>
    </row>
    <row r="14" spans="1:18" ht="63" x14ac:dyDescent="0.25">
      <c r="A14" s="33"/>
      <c r="B14" s="33"/>
      <c r="C14" s="15" t="s">
        <v>25</v>
      </c>
      <c r="D14" s="35" t="s">
        <v>26</v>
      </c>
      <c r="E14" s="35" t="s">
        <v>15</v>
      </c>
      <c r="F14" s="34" t="s">
        <v>15</v>
      </c>
      <c r="G14" s="36" t="s">
        <v>15</v>
      </c>
      <c r="H14" s="25"/>
      <c r="I14" s="25"/>
      <c r="J14" s="25">
        <v>0</v>
      </c>
      <c r="K14" s="26"/>
      <c r="L14" s="26"/>
      <c r="M14" s="25"/>
      <c r="N14" s="25"/>
      <c r="O14" s="25"/>
      <c r="P14" s="17">
        <f t="shared" si="1"/>
        <v>0</v>
      </c>
      <c r="Q14" s="17">
        <f t="shared" si="2"/>
        <v>0</v>
      </c>
    </row>
    <row r="15" spans="1:18" ht="47.25" x14ac:dyDescent="0.25">
      <c r="A15" s="40" t="s">
        <v>27</v>
      </c>
      <c r="B15" s="41" t="s">
        <v>28</v>
      </c>
      <c r="C15" s="30" t="s">
        <v>14</v>
      </c>
      <c r="D15" s="34" t="s">
        <v>15</v>
      </c>
      <c r="E15" s="35" t="s">
        <v>15</v>
      </c>
      <c r="F15" s="34" t="s">
        <v>15</v>
      </c>
      <c r="G15" s="36" t="s">
        <v>15</v>
      </c>
      <c r="H15" s="25">
        <f t="shared" ref="H15:N15" si="7">H18</f>
        <v>214621.9</v>
      </c>
      <c r="I15" s="25">
        <f t="shared" si="7"/>
        <v>231479.1</v>
      </c>
      <c r="J15" s="25">
        <f t="shared" si="7"/>
        <v>252889.60000000001</v>
      </c>
      <c r="K15" s="26">
        <f t="shared" si="7"/>
        <v>262736.59999999998</v>
      </c>
      <c r="L15" s="26">
        <f t="shared" si="7"/>
        <v>275850</v>
      </c>
      <c r="M15" s="25">
        <f>M17+M18</f>
        <v>294091.2</v>
      </c>
      <c r="N15" s="25">
        <f t="shared" si="7"/>
        <v>286491.5</v>
      </c>
      <c r="O15" s="25">
        <f>O18</f>
        <v>283515.90000000002</v>
      </c>
      <c r="P15" s="17">
        <f>P18</f>
        <v>281762.8</v>
      </c>
      <c r="Q15" s="17">
        <f t="shared" si="2"/>
        <v>2383438.5999999996</v>
      </c>
    </row>
    <row r="16" spans="1:18" x14ac:dyDescent="0.25">
      <c r="A16" s="42"/>
      <c r="B16" s="43"/>
      <c r="C16" s="30" t="s">
        <v>16</v>
      </c>
      <c r="D16" s="37"/>
      <c r="E16" s="38"/>
      <c r="F16" s="37"/>
      <c r="G16" s="39"/>
      <c r="H16" s="25"/>
      <c r="I16" s="25"/>
      <c r="J16" s="25"/>
      <c r="K16" s="26"/>
      <c r="L16" s="26"/>
      <c r="M16" s="25"/>
      <c r="N16" s="25"/>
      <c r="O16" s="25"/>
      <c r="P16" s="17">
        <f t="shared" si="1"/>
        <v>0</v>
      </c>
      <c r="Q16" s="17">
        <f t="shared" si="2"/>
        <v>0</v>
      </c>
    </row>
    <row r="17" spans="1:17" ht="31.5" hidden="1" x14ac:dyDescent="0.25">
      <c r="A17" s="42"/>
      <c r="B17" s="43"/>
      <c r="C17" s="28" t="s">
        <v>19</v>
      </c>
      <c r="D17" s="29" t="s">
        <v>20</v>
      </c>
      <c r="E17" s="16" t="s">
        <v>15</v>
      </c>
      <c r="F17" s="16" t="s">
        <v>15</v>
      </c>
      <c r="G17" s="16" t="s">
        <v>15</v>
      </c>
      <c r="H17" s="25"/>
      <c r="I17" s="25"/>
      <c r="J17" s="25"/>
      <c r="K17" s="26"/>
      <c r="L17" s="26"/>
      <c r="M17" s="25">
        <v>0</v>
      </c>
      <c r="N17" s="25"/>
      <c r="O17" s="25"/>
      <c r="P17" s="17">
        <f t="shared" si="1"/>
        <v>0</v>
      </c>
      <c r="Q17" s="17">
        <f t="shared" si="2"/>
        <v>0</v>
      </c>
    </row>
    <row r="18" spans="1:17" ht="50.25" customHeight="1" x14ac:dyDescent="0.25">
      <c r="A18" s="42"/>
      <c r="B18" s="44"/>
      <c r="C18" s="15" t="s">
        <v>17</v>
      </c>
      <c r="D18" s="45">
        <v>975</v>
      </c>
      <c r="E18" s="35" t="s">
        <v>15</v>
      </c>
      <c r="F18" s="34" t="s">
        <v>15</v>
      </c>
      <c r="G18" s="36" t="s">
        <v>15</v>
      </c>
      <c r="H18" s="46">
        <v>214621.9</v>
      </c>
      <c r="I18" s="25">
        <v>231479.1</v>
      </c>
      <c r="J18" s="25">
        <v>252889.60000000001</v>
      </c>
      <c r="K18" s="26">
        <v>262736.59999999998</v>
      </c>
      <c r="L18" s="26">
        <v>275850</v>
      </c>
      <c r="M18" s="25">
        <v>294091.2</v>
      </c>
      <c r="N18" s="25">
        <v>286491.5</v>
      </c>
      <c r="O18" s="25">
        <v>283515.90000000002</v>
      </c>
      <c r="P18" s="17">
        <v>281762.8</v>
      </c>
      <c r="Q18" s="17">
        <f t="shared" si="2"/>
        <v>2383438.5999999996</v>
      </c>
    </row>
    <row r="19" spans="1:17" ht="47.25" customHeight="1" x14ac:dyDescent="0.25">
      <c r="A19" s="40" t="s">
        <v>29</v>
      </c>
      <c r="B19" s="41" t="s">
        <v>30</v>
      </c>
      <c r="C19" s="30" t="s">
        <v>14</v>
      </c>
      <c r="D19" s="35" t="s">
        <v>18</v>
      </c>
      <c r="E19" s="35" t="s">
        <v>15</v>
      </c>
      <c r="F19" s="34" t="s">
        <v>15</v>
      </c>
      <c r="G19" s="36" t="s">
        <v>15</v>
      </c>
      <c r="H19" s="25">
        <f t="shared" ref="H19:N19" si="8">H21</f>
        <v>6990.7</v>
      </c>
      <c r="I19" s="25">
        <f t="shared" si="8"/>
        <v>7764.9</v>
      </c>
      <c r="J19" s="25">
        <f t="shared" si="8"/>
        <v>7414.4</v>
      </c>
      <c r="K19" s="26">
        <f t="shared" si="8"/>
        <v>8058.3</v>
      </c>
      <c r="L19" s="26">
        <f t="shared" si="8"/>
        <v>7980.8</v>
      </c>
      <c r="M19" s="25">
        <f t="shared" si="8"/>
        <v>8394.1</v>
      </c>
      <c r="N19" s="25">
        <f t="shared" si="8"/>
        <v>9585.7000000000007</v>
      </c>
      <c r="O19" s="25">
        <f>O21</f>
        <v>7628.8</v>
      </c>
      <c r="P19" s="17">
        <f t="shared" si="1"/>
        <v>7628.8</v>
      </c>
      <c r="Q19" s="17">
        <f t="shared" si="2"/>
        <v>71446.5</v>
      </c>
    </row>
    <row r="20" spans="1:17" x14ac:dyDescent="0.25">
      <c r="A20" s="42"/>
      <c r="B20" s="43"/>
      <c r="C20" s="30" t="s">
        <v>16</v>
      </c>
      <c r="D20" s="37"/>
      <c r="E20" s="38"/>
      <c r="F20" s="37"/>
      <c r="G20" s="39"/>
      <c r="H20" s="25"/>
      <c r="I20" s="25"/>
      <c r="J20" s="25"/>
      <c r="K20" s="26"/>
      <c r="L20" s="26"/>
      <c r="M20" s="25"/>
      <c r="N20" s="25"/>
      <c r="O20" s="25"/>
      <c r="P20" s="17">
        <f t="shared" si="1"/>
        <v>0</v>
      </c>
      <c r="Q20" s="17">
        <f t="shared" si="2"/>
        <v>0</v>
      </c>
    </row>
    <row r="21" spans="1:17" ht="55.5" customHeight="1" x14ac:dyDescent="0.25">
      <c r="A21" s="42"/>
      <c r="B21" s="44"/>
      <c r="C21" s="15" t="s">
        <v>17</v>
      </c>
      <c r="D21" s="47">
        <v>975</v>
      </c>
      <c r="E21" s="48" t="s">
        <v>15</v>
      </c>
      <c r="F21" s="47" t="s">
        <v>15</v>
      </c>
      <c r="G21" s="49" t="s">
        <v>15</v>
      </c>
      <c r="H21" s="25">
        <v>6990.7</v>
      </c>
      <c r="I21" s="25">
        <v>7764.9</v>
      </c>
      <c r="J21" s="25">
        <v>7414.4</v>
      </c>
      <c r="K21" s="26">
        <v>8058.3</v>
      </c>
      <c r="L21" s="26">
        <v>7980.8</v>
      </c>
      <c r="M21" s="25">
        <v>8394.1</v>
      </c>
      <c r="N21" s="25">
        <v>9585.7000000000007</v>
      </c>
      <c r="O21" s="25">
        <v>7628.8</v>
      </c>
      <c r="P21" s="25">
        <v>7628.8</v>
      </c>
      <c r="Q21" s="17">
        <f t="shared" si="2"/>
        <v>71446.5</v>
      </c>
    </row>
    <row r="22" spans="1:17" ht="47.25" customHeight="1" x14ac:dyDescent="0.25">
      <c r="A22" s="50" t="s">
        <v>31</v>
      </c>
      <c r="B22" s="41" t="s">
        <v>32</v>
      </c>
      <c r="C22" s="30" t="s">
        <v>14</v>
      </c>
      <c r="D22" s="34"/>
      <c r="E22" s="35"/>
      <c r="F22" s="34"/>
      <c r="G22" s="36"/>
      <c r="H22" s="25">
        <f t="shared" ref="H22:M22" si="9">H24+H25+H26</f>
        <v>28125.4</v>
      </c>
      <c r="I22" s="25">
        <f t="shared" si="9"/>
        <v>29557</v>
      </c>
      <c r="J22" s="25">
        <f t="shared" si="9"/>
        <v>32395.200000000001</v>
      </c>
      <c r="K22" s="26">
        <f>K24+K25+K26</f>
        <v>33800</v>
      </c>
      <c r="L22" s="26">
        <f>L24+L25+L26</f>
        <v>36181.299999999996</v>
      </c>
      <c r="M22" s="25">
        <f t="shared" si="9"/>
        <v>44408.899999999994</v>
      </c>
      <c r="N22" s="25">
        <f>N24+N25+N26</f>
        <v>41930.5</v>
      </c>
      <c r="O22" s="25">
        <f>O24+O25+O26</f>
        <v>45919.6</v>
      </c>
      <c r="P22" s="17">
        <f>P24+P25+P26</f>
        <v>42863.6</v>
      </c>
      <c r="Q22" s="17">
        <f t="shared" si="2"/>
        <v>335181.49999999994</v>
      </c>
    </row>
    <row r="23" spans="1:17" x14ac:dyDescent="0.25">
      <c r="A23" s="50"/>
      <c r="B23" s="43"/>
      <c r="C23" s="30" t="s">
        <v>16</v>
      </c>
      <c r="D23" s="37"/>
      <c r="E23" s="38"/>
      <c r="F23" s="37"/>
      <c r="G23" s="39"/>
      <c r="H23" s="25"/>
      <c r="I23" s="25"/>
      <c r="J23" s="25"/>
      <c r="K23" s="26"/>
      <c r="L23" s="26"/>
      <c r="M23" s="25"/>
      <c r="N23" s="25"/>
      <c r="O23" s="25"/>
      <c r="P23" s="17">
        <f t="shared" si="1"/>
        <v>0</v>
      </c>
      <c r="Q23" s="17">
        <f t="shared" si="2"/>
        <v>0</v>
      </c>
    </row>
    <row r="24" spans="1:17" ht="48.75" customHeight="1" x14ac:dyDescent="0.25">
      <c r="A24" s="50"/>
      <c r="B24" s="43"/>
      <c r="C24" s="15" t="s">
        <v>17</v>
      </c>
      <c r="D24" s="35" t="s">
        <v>18</v>
      </c>
      <c r="E24" s="35" t="s">
        <v>15</v>
      </c>
      <c r="F24" s="34"/>
      <c r="G24" s="36"/>
      <c r="H24" s="25">
        <v>6449.1</v>
      </c>
      <c r="I24" s="25">
        <v>7182.6</v>
      </c>
      <c r="J24" s="25">
        <v>7594.7</v>
      </c>
      <c r="K24" s="26">
        <v>9247.5</v>
      </c>
      <c r="L24" s="26">
        <v>9944.2999999999993</v>
      </c>
      <c r="M24" s="25">
        <f>44408.9-M25-M26</f>
        <v>17757.2</v>
      </c>
      <c r="N24" s="25">
        <v>23566</v>
      </c>
      <c r="O24" s="25">
        <f>45919.6-O25-O26</f>
        <v>23746.699999999997</v>
      </c>
      <c r="P24" s="17">
        <f>42863.6-P25-P26</f>
        <v>23746.699999999997</v>
      </c>
      <c r="Q24" s="17">
        <f t="shared" si="2"/>
        <v>129234.79999999999</v>
      </c>
    </row>
    <row r="25" spans="1:17" ht="39" customHeight="1" x14ac:dyDescent="0.25">
      <c r="A25" s="50"/>
      <c r="B25" s="43"/>
      <c r="C25" s="30" t="s">
        <v>19</v>
      </c>
      <c r="D25" s="34">
        <v>906</v>
      </c>
      <c r="E25" s="35" t="s">
        <v>15</v>
      </c>
      <c r="F25" s="34"/>
      <c r="G25" s="34"/>
      <c r="H25" s="26">
        <v>7523.2</v>
      </c>
      <c r="I25" s="26">
        <f>3247.3+4190.7</f>
        <v>7438</v>
      </c>
      <c r="J25" s="26">
        <f>9009.9+473.9</f>
        <v>9483.7999999999993</v>
      </c>
      <c r="K25" s="26">
        <f>8415+765</f>
        <v>9180</v>
      </c>
      <c r="L25" s="26">
        <v>10241.9</v>
      </c>
      <c r="M25" s="25">
        <v>9907.9</v>
      </c>
      <c r="N25" s="25">
        <v>0</v>
      </c>
      <c r="O25" s="25">
        <v>6111.9</v>
      </c>
      <c r="P25" s="17">
        <v>3055.9</v>
      </c>
      <c r="Q25" s="17">
        <f t="shared" si="2"/>
        <v>62942.600000000006</v>
      </c>
    </row>
    <row r="26" spans="1:17" ht="30" customHeight="1" x14ac:dyDescent="0.25">
      <c r="A26" s="50"/>
      <c r="B26" s="44"/>
      <c r="C26" s="30" t="s">
        <v>21</v>
      </c>
      <c r="D26" s="47">
        <v>976</v>
      </c>
      <c r="E26" s="48" t="s">
        <v>15</v>
      </c>
      <c r="F26" s="37"/>
      <c r="G26" s="37"/>
      <c r="H26" s="25">
        <v>14153.1</v>
      </c>
      <c r="I26" s="25">
        <v>14936.4</v>
      </c>
      <c r="J26" s="26">
        <v>15316.7</v>
      </c>
      <c r="K26" s="26">
        <v>15372.5</v>
      </c>
      <c r="L26" s="26">
        <v>15995.1</v>
      </c>
      <c r="M26" s="25">
        <v>16743.8</v>
      </c>
      <c r="N26" s="25">
        <v>18364.5</v>
      </c>
      <c r="O26" s="25">
        <v>16061</v>
      </c>
      <c r="P26" s="17">
        <f t="shared" si="1"/>
        <v>16061</v>
      </c>
      <c r="Q26" s="17">
        <f t="shared" si="2"/>
        <v>143004.1</v>
      </c>
    </row>
    <row r="27" spans="1:17" x14ac:dyDescent="0.25">
      <c r="I27" s="51"/>
      <c r="J27" s="51"/>
      <c r="K27" s="52"/>
      <c r="L27" s="51"/>
      <c r="M27" s="51"/>
      <c r="N27" s="51"/>
      <c r="O27" s="51"/>
      <c r="P27" s="51"/>
    </row>
    <row r="28" spans="1:17" ht="18.75" customHeight="1" x14ac:dyDescent="0.25">
      <c r="A28" s="1" t="s">
        <v>33</v>
      </c>
      <c r="Q28" s="1" t="s">
        <v>34</v>
      </c>
    </row>
    <row r="29" spans="1:17" x14ac:dyDescent="0.25">
      <c r="K29" s="54"/>
      <c r="L29" s="54"/>
      <c r="M29" s="54"/>
      <c r="N29" s="54"/>
      <c r="O29" s="54"/>
      <c r="P29" s="54"/>
      <c r="Q29" s="54"/>
    </row>
    <row r="31" spans="1:17" x14ac:dyDescent="0.25">
      <c r="L31" s="55"/>
    </row>
    <row r="32" spans="1:17" x14ac:dyDescent="0.25">
      <c r="L32" s="55"/>
    </row>
    <row r="33" spans="12:17" x14ac:dyDescent="0.25">
      <c r="Q33" s="51"/>
    </row>
    <row r="34" spans="12:17" x14ac:dyDescent="0.25">
      <c r="L34" s="55"/>
      <c r="Q34" s="51"/>
    </row>
    <row r="36" spans="12:17" x14ac:dyDescent="0.25">
      <c r="Q36" s="51"/>
    </row>
    <row r="37" spans="12:17" x14ac:dyDescent="0.25">
      <c r="Q37" s="51"/>
    </row>
  </sheetData>
  <mergeCells count="17">
    <mergeCell ref="A19:A21"/>
    <mergeCell ref="B19:B21"/>
    <mergeCell ref="A22:A26"/>
    <mergeCell ref="B22:B26"/>
    <mergeCell ref="A5:A10"/>
    <mergeCell ref="B5:B10"/>
    <mergeCell ref="A11:A14"/>
    <mergeCell ref="B11:B14"/>
    <mergeCell ref="A15:A18"/>
    <mergeCell ref="B15:B18"/>
    <mergeCell ref="M1:Q1"/>
    <mergeCell ref="A2:Q2"/>
    <mergeCell ref="A3:A4"/>
    <mergeCell ref="B3:B4"/>
    <mergeCell ref="C3:C4"/>
    <mergeCell ref="D3:G3"/>
    <mergeCell ref="H3:Q3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view="pageBreakPreview" topLeftCell="C1" zoomScaleNormal="100" zoomScaleSheetLayoutView="100" workbookViewId="0">
      <selection activeCell="J18" sqref="J18"/>
    </sheetView>
  </sheetViews>
  <sheetFormatPr defaultRowHeight="15.75" x14ac:dyDescent="0.25"/>
  <cols>
    <col min="1" max="1" width="7.42578125" style="53" customWidth="1"/>
    <col min="2" max="2" width="79.140625" style="53" customWidth="1"/>
    <col min="3" max="3" width="12" style="53" customWidth="1"/>
    <col min="4" max="4" width="16.28515625" style="53" customWidth="1"/>
    <col min="5" max="5" width="9.140625" style="53" hidden="1" customWidth="1"/>
    <col min="6" max="8" width="11.42578125" style="53" customWidth="1"/>
    <col min="9" max="11" width="11.42578125" style="448" customWidth="1"/>
    <col min="12" max="12" width="11.42578125" style="449" customWidth="1"/>
    <col min="13" max="13" width="11.42578125" style="53" customWidth="1"/>
    <col min="14" max="16384" width="9.140625" style="53"/>
  </cols>
  <sheetData>
    <row r="1" spans="1:14" ht="50.25" customHeight="1" x14ac:dyDescent="0.25">
      <c r="A1" s="118"/>
      <c r="B1" s="119"/>
      <c r="C1" s="120"/>
      <c r="D1" s="119"/>
      <c r="F1" s="439" t="s">
        <v>493</v>
      </c>
      <c r="G1" s="439"/>
      <c r="H1" s="439"/>
      <c r="I1" s="439"/>
      <c r="J1" s="439"/>
      <c r="K1" s="439"/>
      <c r="L1" s="439"/>
    </row>
    <row r="2" spans="1:14" ht="26.25" customHeight="1" x14ac:dyDescent="0.25">
      <c r="A2" s="208" t="s">
        <v>246</v>
      </c>
      <c r="B2" s="208"/>
      <c r="C2" s="208"/>
      <c r="D2" s="208"/>
      <c r="E2" s="208"/>
      <c r="F2" s="208"/>
      <c r="G2" s="208"/>
      <c r="H2" s="208"/>
      <c r="I2" s="208"/>
      <c r="J2" s="440"/>
      <c r="K2" s="440"/>
      <c r="L2" s="440"/>
    </row>
    <row r="3" spans="1:14" ht="53.25" customHeight="1" x14ac:dyDescent="0.25">
      <c r="A3" s="124" t="s">
        <v>89</v>
      </c>
      <c r="B3" s="125" t="s">
        <v>247</v>
      </c>
      <c r="C3" s="125" t="s">
        <v>91</v>
      </c>
      <c r="D3" s="125" t="s">
        <v>93</v>
      </c>
      <c r="E3" s="50" t="s">
        <v>94</v>
      </c>
      <c r="F3" s="50" t="s">
        <v>41</v>
      </c>
      <c r="G3" s="50" t="s">
        <v>42</v>
      </c>
      <c r="H3" s="50" t="s">
        <v>43</v>
      </c>
      <c r="I3" s="50" t="s">
        <v>44</v>
      </c>
      <c r="J3" s="50" t="s">
        <v>45</v>
      </c>
      <c r="K3" s="50" t="s">
        <v>46</v>
      </c>
      <c r="L3" s="50" t="s">
        <v>47</v>
      </c>
      <c r="M3" s="50" t="s">
        <v>48</v>
      </c>
      <c r="N3" s="50" t="s">
        <v>49</v>
      </c>
    </row>
    <row r="4" spans="1:14" s="152" customFormat="1" ht="22.5" customHeight="1" x14ac:dyDescent="0.2">
      <c r="A4" s="124"/>
      <c r="B4" s="125"/>
      <c r="C4" s="125"/>
      <c r="D4" s="125"/>
      <c r="E4" s="50"/>
      <c r="F4" s="50"/>
      <c r="G4" s="50"/>
      <c r="H4" s="50"/>
      <c r="I4" s="50"/>
      <c r="J4" s="50"/>
      <c r="K4" s="50"/>
      <c r="L4" s="50"/>
      <c r="M4" s="50"/>
      <c r="N4" s="50"/>
    </row>
    <row r="5" spans="1:14" ht="21.75" hidden="1" customHeight="1" x14ac:dyDescent="0.25">
      <c r="A5" s="124"/>
      <c r="B5" s="125"/>
      <c r="C5" s="125"/>
      <c r="D5" s="125"/>
      <c r="E5" s="50"/>
      <c r="F5" s="50"/>
      <c r="G5" s="50"/>
      <c r="H5" s="50"/>
      <c r="I5" s="50"/>
      <c r="J5" s="50"/>
      <c r="K5" s="50"/>
      <c r="L5" s="50"/>
      <c r="M5" s="50"/>
      <c r="N5" s="50"/>
    </row>
    <row r="6" spans="1:14" ht="36" customHeight="1" x14ac:dyDescent="0.25">
      <c r="A6" s="220" t="s">
        <v>494</v>
      </c>
      <c r="B6" s="221"/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</row>
    <row r="7" spans="1:14" ht="30" customHeight="1" x14ac:dyDescent="0.25">
      <c r="A7" s="441" t="s">
        <v>495</v>
      </c>
      <c r="B7" s="442"/>
      <c r="C7" s="442"/>
      <c r="D7" s="442"/>
      <c r="E7" s="442"/>
      <c r="F7" s="442"/>
      <c r="G7" s="442"/>
      <c r="H7" s="442"/>
      <c r="I7" s="442"/>
      <c r="J7" s="442"/>
      <c r="K7" s="442"/>
      <c r="L7" s="442"/>
      <c r="M7" s="443"/>
    </row>
    <row r="8" spans="1:14" ht="31.5" x14ac:dyDescent="0.25">
      <c r="A8" s="444" t="s">
        <v>496</v>
      </c>
      <c r="B8" s="163" t="s">
        <v>497</v>
      </c>
      <c r="C8" s="173" t="s">
        <v>97</v>
      </c>
      <c r="D8" s="128" t="s">
        <v>102</v>
      </c>
      <c r="E8" s="130"/>
      <c r="F8" s="129">
        <v>82.9</v>
      </c>
      <c r="G8" s="129">
        <v>82.9</v>
      </c>
      <c r="H8" s="129">
        <v>93.2</v>
      </c>
      <c r="I8" s="129">
        <v>93.7</v>
      </c>
      <c r="J8" s="129">
        <v>94</v>
      </c>
      <c r="K8" s="129">
        <v>94</v>
      </c>
      <c r="L8" s="129">
        <v>94</v>
      </c>
      <c r="M8" s="129">
        <v>94</v>
      </c>
      <c r="N8" s="129">
        <v>94</v>
      </c>
    </row>
    <row r="9" spans="1:14" ht="33.75" customHeight="1" x14ac:dyDescent="0.25">
      <c r="A9" s="441" t="s">
        <v>498</v>
      </c>
      <c r="B9" s="442"/>
      <c r="C9" s="442"/>
      <c r="D9" s="442"/>
      <c r="E9" s="442"/>
      <c r="F9" s="442"/>
      <c r="G9" s="442"/>
      <c r="H9" s="442"/>
      <c r="I9" s="442"/>
      <c r="J9" s="442"/>
      <c r="K9" s="442"/>
      <c r="L9" s="442"/>
      <c r="M9" s="443"/>
    </row>
    <row r="10" spans="1:14" ht="31.5" x14ac:dyDescent="0.25">
      <c r="A10" s="445" t="s">
        <v>499</v>
      </c>
      <c r="B10" s="163" t="s">
        <v>500</v>
      </c>
      <c r="C10" s="173" t="s">
        <v>97</v>
      </c>
      <c r="D10" s="128" t="s">
        <v>102</v>
      </c>
      <c r="E10" s="130"/>
      <c r="F10" s="129">
        <v>73</v>
      </c>
      <c r="G10" s="129">
        <v>74</v>
      </c>
      <c r="H10" s="129">
        <v>89</v>
      </c>
      <c r="I10" s="129">
        <v>90</v>
      </c>
      <c r="J10" s="129">
        <v>92</v>
      </c>
      <c r="K10" s="129">
        <v>95</v>
      </c>
      <c r="L10" s="129">
        <v>95</v>
      </c>
      <c r="M10" s="129">
        <v>95</v>
      </c>
      <c r="N10" s="129">
        <v>95</v>
      </c>
    </row>
    <row r="11" spans="1:14" ht="47.25" x14ac:dyDescent="0.25">
      <c r="A11" s="445" t="s">
        <v>501</v>
      </c>
      <c r="B11" s="163" t="s">
        <v>177</v>
      </c>
      <c r="C11" s="446" t="s">
        <v>97</v>
      </c>
      <c r="D11" s="128" t="s">
        <v>102</v>
      </c>
      <c r="E11" s="128">
        <v>15.6</v>
      </c>
      <c r="F11" s="129">
        <v>70</v>
      </c>
      <c r="G11" s="129">
        <v>70</v>
      </c>
      <c r="H11" s="129">
        <v>95</v>
      </c>
      <c r="I11" s="129">
        <v>97</v>
      </c>
      <c r="J11" s="129">
        <v>97</v>
      </c>
      <c r="K11" s="129">
        <v>98</v>
      </c>
      <c r="L11" s="129">
        <v>98</v>
      </c>
      <c r="M11" s="129">
        <v>98</v>
      </c>
      <c r="N11" s="129">
        <v>98</v>
      </c>
    </row>
    <row r="12" spans="1:14" x14ac:dyDescent="0.25">
      <c r="A12" s="184"/>
      <c r="B12" s="152"/>
      <c r="C12" s="152"/>
      <c r="D12" s="152"/>
      <c r="E12" s="152"/>
      <c r="F12" s="152"/>
      <c r="G12" s="152"/>
      <c r="H12" s="152"/>
      <c r="I12" s="152"/>
      <c r="J12" s="152"/>
      <c r="K12" s="152"/>
      <c r="L12" s="152"/>
    </row>
    <row r="13" spans="1:14" x14ac:dyDescent="0.25">
      <c r="A13" s="237" t="s">
        <v>33</v>
      </c>
      <c r="B13" s="237"/>
      <c r="C13" s="237"/>
      <c r="I13" s="447" t="s">
        <v>34</v>
      </c>
      <c r="J13" s="447"/>
      <c r="K13" s="447"/>
      <c r="L13" s="447"/>
    </row>
  </sheetData>
  <mergeCells count="20">
    <mergeCell ref="A6:N6"/>
    <mergeCell ref="A7:M7"/>
    <mergeCell ref="A9:M9"/>
    <mergeCell ref="I13:L13"/>
    <mergeCell ref="I3:I5"/>
    <mergeCell ref="J3:J5"/>
    <mergeCell ref="K3:K5"/>
    <mergeCell ref="L3:L5"/>
    <mergeCell ref="M3:M5"/>
    <mergeCell ref="N3:N5"/>
    <mergeCell ref="F1:L1"/>
    <mergeCell ref="A2:I2"/>
    <mergeCell ref="A3:A5"/>
    <mergeCell ref="B3:B5"/>
    <mergeCell ref="C3:C5"/>
    <mergeCell ref="D3:D5"/>
    <mergeCell ref="E3:E5"/>
    <mergeCell ref="F3:F5"/>
    <mergeCell ref="G3:G5"/>
    <mergeCell ref="H3:H5"/>
  </mergeCells>
  <pageMargins left="0.51181102362204722" right="0.31496062992125984" top="0.55118110236220474" bottom="0.35433070866141736" header="0.31496062992125984" footer="0.31496062992125984"/>
  <pageSetup paperSize="9" scale="65" fitToHeight="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7"/>
  <sheetViews>
    <sheetView view="pageBreakPreview" zoomScale="98" zoomScaleNormal="98" zoomScaleSheetLayoutView="98" workbookViewId="0">
      <pane xSplit="3" ySplit="5" topLeftCell="I30" activePane="bottomRight" state="frozen"/>
      <selection activeCell="Q12" sqref="Q12"/>
      <selection pane="topRight" activeCell="Q12" sqref="Q12"/>
      <selection pane="bottomLeft" activeCell="Q12" sqref="Q12"/>
      <selection pane="bottomRight" activeCell="O37" sqref="O37"/>
    </sheetView>
  </sheetViews>
  <sheetFormatPr defaultColWidth="9.28515625" defaultRowHeight="15.75" x14ac:dyDescent="0.25"/>
  <cols>
    <col min="1" max="1" width="6.5703125" style="317" customWidth="1"/>
    <col min="2" max="2" width="50.42578125" style="53" customWidth="1"/>
    <col min="3" max="3" width="21.7109375" style="318" customWidth="1"/>
    <col min="4" max="5" width="9.28515625" style="318" customWidth="1"/>
    <col min="6" max="6" width="14.85546875" style="318" customWidth="1"/>
    <col min="7" max="7" width="11.28515625" style="318" customWidth="1"/>
    <col min="8" max="8" width="12.7109375" style="318" customWidth="1"/>
    <col min="9" max="13" width="12.7109375" style="53" customWidth="1"/>
    <col min="14" max="14" width="12.7109375" style="81" customWidth="1"/>
    <col min="15" max="16" width="12.7109375" style="53" customWidth="1"/>
    <col min="17" max="17" width="14.7109375" style="53" customWidth="1"/>
    <col min="18" max="18" width="40.140625" style="53" customWidth="1"/>
    <col min="19" max="19" width="12" style="53" customWidth="1"/>
    <col min="20" max="16384" width="9.28515625" style="53"/>
  </cols>
  <sheetData>
    <row r="1" spans="1:19" s="202" customFormat="1" ht="75" customHeight="1" x14ac:dyDescent="0.25">
      <c r="A1" s="240"/>
      <c r="B1" s="241"/>
      <c r="C1" s="242"/>
      <c r="D1" s="242"/>
      <c r="E1" s="242"/>
      <c r="F1" s="242"/>
      <c r="G1" s="242"/>
      <c r="H1" s="242"/>
      <c r="I1" s="450"/>
      <c r="J1" s="450"/>
      <c r="N1" s="177"/>
      <c r="Q1" s="439" t="s">
        <v>502</v>
      </c>
      <c r="R1" s="439"/>
      <c r="S1" s="451"/>
    </row>
    <row r="2" spans="1:19" s="202" customFormat="1" ht="23.25" customHeight="1" x14ac:dyDescent="0.25">
      <c r="A2" s="246" t="s">
        <v>258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</row>
    <row r="3" spans="1:19" s="202" customFormat="1" ht="24.75" customHeight="1" x14ac:dyDescent="0.25">
      <c r="A3" s="50" t="s">
        <v>89</v>
      </c>
      <c r="B3" s="50" t="s">
        <v>259</v>
      </c>
      <c r="C3" s="50" t="s">
        <v>7</v>
      </c>
      <c r="D3" s="452" t="s">
        <v>5</v>
      </c>
      <c r="E3" s="453"/>
      <c r="F3" s="453"/>
      <c r="G3" s="454"/>
      <c r="H3" s="455"/>
      <c r="I3" s="50" t="s">
        <v>6</v>
      </c>
      <c r="J3" s="50"/>
      <c r="K3" s="50"/>
      <c r="L3" s="50"/>
      <c r="M3" s="50"/>
      <c r="N3" s="50"/>
      <c r="O3" s="50"/>
      <c r="P3" s="50"/>
      <c r="Q3" s="50"/>
      <c r="R3" s="50" t="s">
        <v>260</v>
      </c>
    </row>
    <row r="4" spans="1:19" s="202" customFormat="1" ht="42" customHeight="1" x14ac:dyDescent="0.25">
      <c r="A4" s="50"/>
      <c r="B4" s="50"/>
      <c r="C4" s="50"/>
      <c r="D4" s="12" t="s">
        <v>7</v>
      </c>
      <c r="E4" s="12" t="s">
        <v>8</v>
      </c>
      <c r="F4" s="12" t="s">
        <v>9</v>
      </c>
      <c r="G4" s="12" t="s">
        <v>10</v>
      </c>
      <c r="H4" s="12">
        <v>2014</v>
      </c>
      <c r="I4" s="12">
        <v>2015</v>
      </c>
      <c r="J4" s="12">
        <v>2016</v>
      </c>
      <c r="K4" s="12">
        <v>2017</v>
      </c>
      <c r="L4" s="12">
        <v>2018</v>
      </c>
      <c r="M4" s="12">
        <v>2019</v>
      </c>
      <c r="N4" s="88">
        <v>2020</v>
      </c>
      <c r="O4" s="12">
        <v>2021</v>
      </c>
      <c r="P4" s="12">
        <v>2022</v>
      </c>
      <c r="Q4" s="12" t="s">
        <v>11</v>
      </c>
      <c r="R4" s="50"/>
    </row>
    <row r="5" spans="1:19" ht="26.25" customHeight="1" x14ac:dyDescent="0.25">
      <c r="A5" s="33" t="s">
        <v>494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</row>
    <row r="6" spans="1:19" ht="28.5" hidden="1" customHeight="1" x14ac:dyDescent="0.25">
      <c r="A6" s="456"/>
      <c r="B6" s="30"/>
      <c r="C6" s="12"/>
      <c r="D6" s="250"/>
      <c r="E6" s="12"/>
      <c r="F6" s="250" t="s">
        <v>503</v>
      </c>
      <c r="G6" s="12">
        <v>530</v>
      </c>
      <c r="H6" s="12"/>
      <c r="I6" s="23"/>
      <c r="J6" s="23"/>
      <c r="K6" s="23"/>
      <c r="L6" s="23"/>
      <c r="M6" s="23"/>
      <c r="N6" s="22"/>
      <c r="O6" s="23"/>
      <c r="P6" s="23"/>
      <c r="Q6" s="23">
        <f>SUM(I6:K6)</f>
        <v>0</v>
      </c>
      <c r="R6" s="30"/>
    </row>
    <row r="7" spans="1:19" ht="21.75" customHeight="1" x14ac:dyDescent="0.25">
      <c r="A7" s="247" t="s">
        <v>504</v>
      </c>
      <c r="B7" s="247"/>
      <c r="C7" s="247"/>
      <c r="D7" s="247"/>
      <c r="E7" s="247"/>
      <c r="F7" s="247"/>
      <c r="G7" s="247"/>
      <c r="H7" s="247"/>
      <c r="I7" s="247"/>
      <c r="J7" s="247"/>
      <c r="K7" s="247"/>
      <c r="L7" s="247"/>
      <c r="M7" s="247"/>
      <c r="N7" s="247"/>
      <c r="O7" s="247"/>
      <c r="P7" s="247"/>
      <c r="Q7" s="247"/>
      <c r="R7" s="247"/>
    </row>
    <row r="8" spans="1:19" ht="48" hidden="1" customHeight="1" x14ac:dyDescent="0.25">
      <c r="A8" s="248" t="s">
        <v>505</v>
      </c>
      <c r="B8" s="457" t="s">
        <v>506</v>
      </c>
      <c r="C8" s="40" t="s">
        <v>17</v>
      </c>
      <c r="D8" s="12">
        <v>975</v>
      </c>
      <c r="E8" s="250" t="s">
        <v>317</v>
      </c>
      <c r="F8" s="250" t="s">
        <v>507</v>
      </c>
      <c r="G8" s="250" t="s">
        <v>267</v>
      </c>
      <c r="H8" s="250"/>
      <c r="I8" s="30"/>
      <c r="J8" s="12"/>
      <c r="K8" s="458"/>
      <c r="L8" s="458"/>
      <c r="M8" s="458"/>
      <c r="N8" s="459"/>
      <c r="O8" s="458"/>
      <c r="P8" s="458"/>
      <c r="Q8" s="23">
        <f>SUM(G8:N8)</f>
        <v>0</v>
      </c>
      <c r="R8" s="460" t="s">
        <v>508</v>
      </c>
    </row>
    <row r="9" spans="1:19" ht="56.25" customHeight="1" x14ac:dyDescent="0.25">
      <c r="A9" s="253"/>
      <c r="B9" s="461"/>
      <c r="C9" s="42"/>
      <c r="D9" s="462" t="s">
        <v>18</v>
      </c>
      <c r="E9" s="462" t="s">
        <v>317</v>
      </c>
      <c r="F9" s="250" t="s">
        <v>507</v>
      </c>
      <c r="G9" s="12">
        <v>622</v>
      </c>
      <c r="H9" s="23">
        <v>97.2</v>
      </c>
      <c r="I9" s="23"/>
      <c r="J9" s="463"/>
      <c r="L9" s="23"/>
      <c r="M9" s="23"/>
      <c r="N9" s="22"/>
      <c r="O9" s="23"/>
      <c r="P9" s="23">
        <f>O9</f>
        <v>0</v>
      </c>
      <c r="Q9" s="23">
        <f>SUM(H9:P9)</f>
        <v>97.2</v>
      </c>
      <c r="R9" s="276" t="s">
        <v>509</v>
      </c>
    </row>
    <row r="10" spans="1:19" ht="73.900000000000006" customHeight="1" x14ac:dyDescent="0.25">
      <c r="A10" s="257"/>
      <c r="B10" s="464"/>
      <c r="C10" s="75"/>
      <c r="D10" s="462" t="s">
        <v>18</v>
      </c>
      <c r="E10" s="462" t="s">
        <v>317</v>
      </c>
      <c r="F10" s="250" t="s">
        <v>510</v>
      </c>
      <c r="G10" s="12">
        <v>244</v>
      </c>
      <c r="H10" s="23"/>
      <c r="I10" s="23">
        <v>96</v>
      </c>
      <c r="J10" s="23">
        <v>87.9</v>
      </c>
      <c r="K10" s="23">
        <v>110.6</v>
      </c>
      <c r="L10" s="23">
        <v>175</v>
      </c>
      <c r="M10" s="23">
        <v>201.4</v>
      </c>
      <c r="N10" s="22"/>
      <c r="O10" s="23"/>
      <c r="P10" s="23"/>
      <c r="Q10" s="23">
        <f t="shared" ref="Q10:Q23" si="0">SUM(H10:P10)</f>
        <v>670.9</v>
      </c>
      <c r="R10" s="280"/>
    </row>
    <row r="11" spans="1:19" ht="99" customHeight="1" x14ac:dyDescent="0.25">
      <c r="A11" s="250" t="s">
        <v>251</v>
      </c>
      <c r="B11" s="30" t="s">
        <v>511</v>
      </c>
      <c r="C11" s="12" t="s">
        <v>17</v>
      </c>
      <c r="D11" s="462" t="s">
        <v>18</v>
      </c>
      <c r="E11" s="462" t="s">
        <v>317</v>
      </c>
      <c r="F11" s="250" t="s">
        <v>507</v>
      </c>
      <c r="G11" s="12">
        <v>612</v>
      </c>
      <c r="H11" s="23">
        <v>214.3</v>
      </c>
      <c r="I11" s="23">
        <v>214.3</v>
      </c>
      <c r="J11" s="465"/>
      <c r="K11" s="466"/>
      <c r="L11" s="466"/>
      <c r="M11" s="466"/>
      <c r="N11" s="467"/>
      <c r="O11" s="466"/>
      <c r="P11" s="23">
        <f t="shared" ref="P11:P23" si="1">O11</f>
        <v>0</v>
      </c>
      <c r="Q11" s="23">
        <f t="shared" si="0"/>
        <v>428.6</v>
      </c>
      <c r="R11" s="98" t="s">
        <v>512</v>
      </c>
      <c r="S11" s="53">
        <v>2</v>
      </c>
    </row>
    <row r="12" spans="1:19" ht="54.75" customHeight="1" x14ac:dyDescent="0.25">
      <c r="A12" s="289" t="s">
        <v>252</v>
      </c>
      <c r="B12" s="468" t="s">
        <v>513</v>
      </c>
      <c r="C12" s="40" t="s">
        <v>17</v>
      </c>
      <c r="D12" s="469" t="s">
        <v>18</v>
      </c>
      <c r="E12" s="469" t="s">
        <v>317</v>
      </c>
      <c r="F12" s="469" t="s">
        <v>507</v>
      </c>
      <c r="G12" s="12">
        <v>622</v>
      </c>
      <c r="H12" s="23">
        <f>6.8</f>
        <v>6.8</v>
      </c>
      <c r="I12" s="23"/>
      <c r="J12" s="23"/>
      <c r="K12" s="23"/>
      <c r="L12" s="23"/>
      <c r="M12" s="23"/>
      <c r="N12" s="22"/>
      <c r="O12" s="23"/>
      <c r="P12" s="23">
        <f t="shared" si="1"/>
        <v>0</v>
      </c>
      <c r="Q12" s="23">
        <f t="shared" si="0"/>
        <v>6.8</v>
      </c>
      <c r="R12" s="276" t="s">
        <v>514</v>
      </c>
    </row>
    <row r="13" spans="1:19" ht="42.75" customHeight="1" x14ac:dyDescent="0.25">
      <c r="A13" s="290"/>
      <c r="B13" s="470"/>
      <c r="C13" s="75"/>
      <c r="D13" s="469" t="s">
        <v>18</v>
      </c>
      <c r="E13" s="469" t="s">
        <v>317</v>
      </c>
      <c r="F13" s="469" t="s">
        <v>507</v>
      </c>
      <c r="G13" s="471">
        <v>244</v>
      </c>
      <c r="H13" s="23"/>
      <c r="I13" s="23">
        <v>6.8</v>
      </c>
      <c r="J13" s="23"/>
      <c r="K13" s="23"/>
      <c r="L13" s="23"/>
      <c r="M13" s="23"/>
      <c r="N13" s="22"/>
      <c r="O13" s="23"/>
      <c r="P13" s="23">
        <f t="shared" si="1"/>
        <v>0</v>
      </c>
      <c r="Q13" s="23">
        <f t="shared" si="0"/>
        <v>6.8</v>
      </c>
      <c r="R13" s="280"/>
    </row>
    <row r="14" spans="1:19" ht="53.25" customHeight="1" x14ac:dyDescent="0.25">
      <c r="A14" s="248" t="s">
        <v>254</v>
      </c>
      <c r="B14" s="468" t="s">
        <v>515</v>
      </c>
      <c r="C14" s="40" t="s">
        <v>17</v>
      </c>
      <c r="D14" s="469" t="s">
        <v>18</v>
      </c>
      <c r="E14" s="469" t="s">
        <v>317</v>
      </c>
      <c r="F14" s="469" t="s">
        <v>516</v>
      </c>
      <c r="G14" s="471" t="s">
        <v>517</v>
      </c>
      <c r="H14" s="12">
        <v>1367.3</v>
      </c>
      <c r="I14" s="23">
        <v>1367.3</v>
      </c>
      <c r="J14" s="23">
        <v>1309.4000000000001</v>
      </c>
      <c r="K14" s="23">
        <f>1648.2</f>
        <v>1648.2</v>
      </c>
      <c r="L14" s="23">
        <v>1812.7</v>
      </c>
      <c r="M14" s="23"/>
      <c r="N14" s="22"/>
      <c r="O14" s="23"/>
      <c r="P14" s="23">
        <f t="shared" si="1"/>
        <v>0</v>
      </c>
      <c r="Q14" s="23">
        <f t="shared" si="0"/>
        <v>7504.9</v>
      </c>
      <c r="R14" s="276" t="s">
        <v>518</v>
      </c>
    </row>
    <row r="15" spans="1:19" ht="49.5" customHeight="1" x14ac:dyDescent="0.25">
      <c r="A15" s="253"/>
      <c r="B15" s="470"/>
      <c r="C15" s="42"/>
      <c r="D15" s="469" t="s">
        <v>18</v>
      </c>
      <c r="E15" s="469" t="s">
        <v>317</v>
      </c>
      <c r="F15" s="469" t="s">
        <v>519</v>
      </c>
      <c r="G15" s="471">
        <v>622</v>
      </c>
      <c r="H15" s="12">
        <v>344.4</v>
      </c>
      <c r="I15" s="23">
        <v>344.4</v>
      </c>
      <c r="J15" s="23">
        <v>338.1</v>
      </c>
      <c r="K15" s="472">
        <v>0</v>
      </c>
      <c r="L15" s="23"/>
      <c r="M15" s="23"/>
      <c r="N15" s="22"/>
      <c r="O15" s="23"/>
      <c r="P15" s="23">
        <f t="shared" si="1"/>
        <v>0</v>
      </c>
      <c r="Q15" s="23">
        <f t="shared" si="0"/>
        <v>1026.9000000000001</v>
      </c>
      <c r="R15" s="473"/>
    </row>
    <row r="16" spans="1:19" ht="46.5" customHeight="1" x14ac:dyDescent="0.25">
      <c r="A16" s="253"/>
      <c r="B16" s="468" t="s">
        <v>520</v>
      </c>
      <c r="C16" s="42"/>
      <c r="D16" s="469" t="s">
        <v>18</v>
      </c>
      <c r="E16" s="469" t="s">
        <v>317</v>
      </c>
      <c r="F16" s="469" t="s">
        <v>521</v>
      </c>
      <c r="G16" s="471" t="s">
        <v>522</v>
      </c>
      <c r="H16" s="12">
        <v>1.4</v>
      </c>
      <c r="I16" s="23">
        <v>286.10000000000002</v>
      </c>
      <c r="J16" s="23">
        <v>746.2</v>
      </c>
      <c r="K16" s="23">
        <v>358.1</v>
      </c>
      <c r="L16" s="23">
        <v>358.1</v>
      </c>
      <c r="M16" s="23">
        <v>401.7</v>
      </c>
      <c r="N16" s="22">
        <f>338.1+79.3</f>
        <v>417.40000000000003</v>
      </c>
      <c r="O16" s="23">
        <f>338.1+79.3</f>
        <v>417.40000000000003</v>
      </c>
      <c r="P16" s="23">
        <f>338.1+79.3</f>
        <v>417.40000000000003</v>
      </c>
      <c r="Q16" s="23">
        <f t="shared" si="0"/>
        <v>3403.8</v>
      </c>
      <c r="R16" s="473"/>
    </row>
    <row r="17" spans="1:19" ht="53.25" customHeight="1" x14ac:dyDescent="0.25">
      <c r="A17" s="253"/>
      <c r="B17" s="470"/>
      <c r="C17" s="42"/>
      <c r="D17" s="469" t="s">
        <v>18</v>
      </c>
      <c r="E17" s="469" t="s">
        <v>317</v>
      </c>
      <c r="F17" s="469" t="s">
        <v>523</v>
      </c>
      <c r="G17" s="471" t="s">
        <v>524</v>
      </c>
      <c r="H17" s="12">
        <v>0.4</v>
      </c>
      <c r="I17" s="23">
        <v>72.099999999999994</v>
      </c>
      <c r="J17" s="23">
        <v>73.5</v>
      </c>
      <c r="K17" s="23">
        <v>580.79999999999995</v>
      </c>
      <c r="L17" s="23">
        <v>516.5</v>
      </c>
      <c r="M17" s="23">
        <v>579.79999999999995</v>
      </c>
      <c r="N17" s="22">
        <v>824.6</v>
      </c>
      <c r="O17" s="23">
        <v>0</v>
      </c>
      <c r="P17" s="23">
        <v>0</v>
      </c>
      <c r="Q17" s="23">
        <f t="shared" si="0"/>
        <v>2647.7</v>
      </c>
      <c r="R17" s="473"/>
    </row>
    <row r="18" spans="1:19" ht="62.25" customHeight="1" x14ac:dyDescent="0.25">
      <c r="A18" s="257"/>
      <c r="B18" s="474" t="s">
        <v>525</v>
      </c>
      <c r="C18" s="75"/>
      <c r="D18" s="469" t="s">
        <v>18</v>
      </c>
      <c r="E18" s="469" t="s">
        <v>317</v>
      </c>
      <c r="F18" s="469" t="s">
        <v>15</v>
      </c>
      <c r="G18" s="469" t="s">
        <v>15</v>
      </c>
      <c r="H18" s="23">
        <v>533</v>
      </c>
      <c r="I18" s="23">
        <v>705.2</v>
      </c>
      <c r="J18" s="23">
        <v>691.4</v>
      </c>
      <c r="K18" s="23">
        <v>691.4</v>
      </c>
      <c r="L18" s="23">
        <v>691.4</v>
      </c>
      <c r="M18" s="23">
        <f>579.8+201.4</f>
        <v>781.19999999999993</v>
      </c>
      <c r="N18" s="22">
        <v>0</v>
      </c>
      <c r="O18" s="23">
        <v>0</v>
      </c>
      <c r="P18" s="23">
        <v>0</v>
      </c>
      <c r="Q18" s="23">
        <f t="shared" si="0"/>
        <v>4093.6</v>
      </c>
      <c r="R18" s="280"/>
    </row>
    <row r="19" spans="1:19" ht="95.45" customHeight="1" x14ac:dyDescent="0.25">
      <c r="A19" s="475"/>
      <c r="B19" s="474" t="s">
        <v>526</v>
      </c>
      <c r="C19" s="12" t="s">
        <v>17</v>
      </c>
      <c r="D19" s="469" t="s">
        <v>18</v>
      </c>
      <c r="E19" s="469" t="s">
        <v>317</v>
      </c>
      <c r="F19" s="469" t="s">
        <v>527</v>
      </c>
      <c r="G19" s="469" t="s">
        <v>528</v>
      </c>
      <c r="H19" s="23"/>
      <c r="I19" s="23"/>
      <c r="J19" s="23"/>
      <c r="K19" s="23"/>
      <c r="L19" s="23"/>
      <c r="M19" s="23"/>
      <c r="N19" s="22"/>
      <c r="O19" s="23"/>
      <c r="P19" s="23">
        <f t="shared" si="1"/>
        <v>0</v>
      </c>
      <c r="Q19" s="23">
        <f t="shared" si="0"/>
        <v>0</v>
      </c>
      <c r="R19" s="476"/>
    </row>
    <row r="20" spans="1:19" ht="129.75" customHeight="1" x14ac:dyDescent="0.25">
      <c r="A20" s="456" t="s">
        <v>329</v>
      </c>
      <c r="B20" s="477" t="s">
        <v>529</v>
      </c>
      <c r="C20" s="12" t="s">
        <v>17</v>
      </c>
      <c r="D20" s="250" t="s">
        <v>18</v>
      </c>
      <c r="E20" s="250" t="s">
        <v>317</v>
      </c>
      <c r="F20" s="250" t="s">
        <v>530</v>
      </c>
      <c r="G20" s="250" t="s">
        <v>531</v>
      </c>
      <c r="H20" s="23">
        <v>2887.9</v>
      </c>
      <c r="I20" s="23">
        <v>3076.7</v>
      </c>
      <c r="J20" s="23">
        <v>2913.1</v>
      </c>
      <c r="K20" s="23">
        <v>2917.5</v>
      </c>
      <c r="L20" s="23">
        <v>3303.7</v>
      </c>
      <c r="M20" s="23">
        <v>5258.7</v>
      </c>
      <c r="N20" s="22">
        <v>6793.9</v>
      </c>
      <c r="O20" s="23">
        <v>5927.4</v>
      </c>
      <c r="P20" s="23">
        <v>5927.4</v>
      </c>
      <c r="Q20" s="23">
        <f t="shared" si="0"/>
        <v>39006.300000000003</v>
      </c>
      <c r="R20" s="478" t="s">
        <v>532</v>
      </c>
      <c r="S20" s="53">
        <v>4</v>
      </c>
    </row>
    <row r="21" spans="1:19" ht="140.25" customHeight="1" x14ac:dyDescent="0.25">
      <c r="A21" s="456" t="s">
        <v>533</v>
      </c>
      <c r="B21" s="477" t="s">
        <v>534</v>
      </c>
      <c r="C21" s="12" t="s">
        <v>17</v>
      </c>
      <c r="D21" s="250" t="s">
        <v>18</v>
      </c>
      <c r="E21" s="250" t="s">
        <v>317</v>
      </c>
      <c r="F21" s="250" t="s">
        <v>535</v>
      </c>
      <c r="G21" s="250" t="s">
        <v>296</v>
      </c>
      <c r="H21" s="23">
        <v>1476.3</v>
      </c>
      <c r="I21" s="23">
        <v>1534.3</v>
      </c>
      <c r="J21" s="23">
        <v>1254.8</v>
      </c>
      <c r="K21" s="23">
        <v>1265.7</v>
      </c>
      <c r="L21" s="23">
        <v>1123.4000000000001</v>
      </c>
      <c r="M21" s="23">
        <v>1171.3</v>
      </c>
      <c r="N21" s="22">
        <f>1334.1+3.1+212.6</f>
        <v>1549.7999999999997</v>
      </c>
      <c r="O21" s="23">
        <v>1284</v>
      </c>
      <c r="P21" s="23">
        <v>1284</v>
      </c>
      <c r="Q21" s="23">
        <f t="shared" si="0"/>
        <v>11943.6</v>
      </c>
      <c r="R21" s="478" t="s">
        <v>536</v>
      </c>
    </row>
    <row r="22" spans="1:19" ht="140.25" hidden="1" customHeight="1" x14ac:dyDescent="0.25">
      <c r="A22" s="456" t="s">
        <v>537</v>
      </c>
      <c r="B22" s="477" t="s">
        <v>538</v>
      </c>
      <c r="C22" s="12" t="s">
        <v>17</v>
      </c>
      <c r="D22" s="250"/>
      <c r="E22" s="250"/>
      <c r="F22" s="250"/>
      <c r="G22" s="250"/>
      <c r="H22" s="23"/>
      <c r="I22" s="23"/>
      <c r="J22" s="479"/>
      <c r="K22" s="23"/>
      <c r="L22" s="23"/>
      <c r="M22" s="23"/>
      <c r="N22" s="22"/>
      <c r="O22" s="23"/>
      <c r="P22" s="23">
        <f t="shared" si="1"/>
        <v>0</v>
      </c>
      <c r="Q22" s="23">
        <f t="shared" si="0"/>
        <v>0</v>
      </c>
      <c r="R22" s="292"/>
    </row>
    <row r="23" spans="1:19" ht="21" customHeight="1" x14ac:dyDescent="0.25">
      <c r="A23" s="385" t="s">
        <v>320</v>
      </c>
      <c r="B23" s="385"/>
      <c r="C23" s="480"/>
      <c r="D23" s="480"/>
      <c r="E23" s="480"/>
      <c r="F23" s="480"/>
      <c r="G23" s="480"/>
      <c r="H23" s="23">
        <f>SUM(H9:H22)</f>
        <v>6929.0000000000009</v>
      </c>
      <c r="I23" s="23">
        <f>SUM(I9:I22)</f>
        <v>7703.2</v>
      </c>
      <c r="J23" s="23">
        <f>SUM(J9:J22)</f>
        <v>7414.4000000000005</v>
      </c>
      <c r="K23" s="23">
        <f>SUM(K8:K22)</f>
        <v>7572.3</v>
      </c>
      <c r="L23" s="23">
        <f>SUM(L8:L22)</f>
        <v>7980.7999999999993</v>
      </c>
      <c r="M23" s="23">
        <f>SUM(M8:M22)</f>
        <v>8394.0999999999985</v>
      </c>
      <c r="N23" s="22">
        <f>SUM(N8:N22)</f>
        <v>9585.6999999999989</v>
      </c>
      <c r="O23" s="23">
        <f>SUM(O8:O22)</f>
        <v>7628.7999999999993</v>
      </c>
      <c r="P23" s="23">
        <f t="shared" si="1"/>
        <v>7628.7999999999993</v>
      </c>
      <c r="Q23" s="23">
        <f t="shared" si="0"/>
        <v>70837.099999999991</v>
      </c>
      <c r="R23" s="37"/>
    </row>
    <row r="24" spans="1:19" s="430" customFormat="1" ht="30" customHeight="1" x14ac:dyDescent="0.2">
      <c r="A24" s="481" t="s">
        <v>498</v>
      </c>
      <c r="B24" s="481"/>
      <c r="C24" s="481"/>
      <c r="D24" s="481"/>
      <c r="E24" s="481"/>
      <c r="F24" s="481"/>
      <c r="G24" s="481"/>
      <c r="H24" s="481"/>
      <c r="I24" s="481"/>
      <c r="J24" s="481"/>
      <c r="K24" s="481"/>
      <c r="L24" s="481"/>
      <c r="M24" s="481"/>
      <c r="N24" s="481"/>
      <c r="O24" s="481"/>
      <c r="P24" s="481"/>
      <c r="Q24" s="481"/>
      <c r="R24" s="481"/>
    </row>
    <row r="25" spans="1:19" ht="35.1" customHeight="1" x14ac:dyDescent="0.25">
      <c r="A25" s="482" t="s">
        <v>331</v>
      </c>
      <c r="B25" s="483" t="s">
        <v>539</v>
      </c>
      <c r="C25" s="60" t="s">
        <v>17</v>
      </c>
      <c r="D25" s="260" t="s">
        <v>18</v>
      </c>
      <c r="E25" s="260" t="s">
        <v>317</v>
      </c>
      <c r="F25" s="260" t="s">
        <v>507</v>
      </c>
      <c r="G25" s="260" t="s">
        <v>298</v>
      </c>
      <c r="H25" s="22">
        <v>18.7</v>
      </c>
      <c r="I25" s="22"/>
      <c r="J25" s="22"/>
      <c r="K25" s="37"/>
      <c r="L25" s="37"/>
      <c r="M25" s="37"/>
      <c r="N25" s="39"/>
      <c r="O25" s="37"/>
      <c r="P25" s="37">
        <f>O25</f>
        <v>0</v>
      </c>
      <c r="Q25" s="484">
        <f>SUM(H25:P25)</f>
        <v>18.7</v>
      </c>
      <c r="R25" s="483" t="s">
        <v>540</v>
      </c>
    </row>
    <row r="26" spans="1:19" ht="35.1" customHeight="1" x14ac:dyDescent="0.25">
      <c r="A26" s="485"/>
      <c r="B26" s="486"/>
      <c r="C26" s="219"/>
      <c r="D26" s="260" t="s">
        <v>18</v>
      </c>
      <c r="E26" s="260" t="s">
        <v>317</v>
      </c>
      <c r="F26" s="260" t="s">
        <v>507</v>
      </c>
      <c r="G26" s="260" t="s">
        <v>267</v>
      </c>
      <c r="H26" s="22"/>
      <c r="I26" s="22">
        <v>18.7</v>
      </c>
      <c r="J26" s="22"/>
      <c r="K26" s="466"/>
      <c r="L26" s="466"/>
      <c r="M26" s="466"/>
      <c r="N26" s="467"/>
      <c r="O26" s="466"/>
      <c r="P26" s="37">
        <f t="shared" ref="P26:P38" si="2">O26</f>
        <v>0</v>
      </c>
      <c r="Q26" s="484">
        <f t="shared" ref="Q26:Q38" si="3">SUM(H26:P26)</f>
        <v>18.7</v>
      </c>
      <c r="R26" s="486"/>
    </row>
    <row r="27" spans="1:19" ht="35.1" customHeight="1" x14ac:dyDescent="0.25">
      <c r="A27" s="482" t="s">
        <v>332</v>
      </c>
      <c r="B27" s="487" t="s">
        <v>541</v>
      </c>
      <c r="C27" s="60" t="s">
        <v>17</v>
      </c>
      <c r="D27" s="260" t="s">
        <v>18</v>
      </c>
      <c r="E27" s="260" t="s">
        <v>317</v>
      </c>
      <c r="F27" s="260" t="s">
        <v>507</v>
      </c>
      <c r="G27" s="260" t="s">
        <v>298</v>
      </c>
      <c r="H27" s="484">
        <v>13.05</v>
      </c>
      <c r="I27" s="22"/>
      <c r="J27" s="22"/>
      <c r="K27" s="23"/>
      <c r="L27" s="23"/>
      <c r="M27" s="23"/>
      <c r="N27" s="22"/>
      <c r="O27" s="23"/>
      <c r="P27" s="37">
        <f t="shared" si="2"/>
        <v>0</v>
      </c>
      <c r="Q27" s="484">
        <f t="shared" si="3"/>
        <v>13.05</v>
      </c>
      <c r="R27" s="483" t="s">
        <v>542</v>
      </c>
    </row>
    <row r="28" spans="1:19" ht="35.1" customHeight="1" x14ac:dyDescent="0.25">
      <c r="A28" s="485"/>
      <c r="B28" s="488"/>
      <c r="C28" s="219"/>
      <c r="D28" s="260" t="s">
        <v>18</v>
      </c>
      <c r="E28" s="260" t="s">
        <v>317</v>
      </c>
      <c r="F28" s="279" t="s">
        <v>507</v>
      </c>
      <c r="G28" s="279" t="s">
        <v>267</v>
      </c>
      <c r="H28" s="484">
        <v>16.25</v>
      </c>
      <c r="I28" s="484">
        <v>29.3</v>
      </c>
      <c r="J28" s="484"/>
      <c r="K28" s="466"/>
      <c r="L28" s="466"/>
      <c r="M28" s="466"/>
      <c r="N28" s="467"/>
      <c r="O28" s="466"/>
      <c r="P28" s="37">
        <f t="shared" si="2"/>
        <v>0</v>
      </c>
      <c r="Q28" s="484">
        <f t="shared" si="3"/>
        <v>45.55</v>
      </c>
      <c r="R28" s="486"/>
    </row>
    <row r="29" spans="1:19" ht="35.1" customHeight="1" x14ac:dyDescent="0.25">
      <c r="A29" s="489" t="s">
        <v>333</v>
      </c>
      <c r="B29" s="490" t="s">
        <v>543</v>
      </c>
      <c r="C29" s="60" t="s">
        <v>17</v>
      </c>
      <c r="D29" s="260" t="s">
        <v>18</v>
      </c>
      <c r="E29" s="224" t="s">
        <v>317</v>
      </c>
      <c r="F29" s="279" t="s">
        <v>507</v>
      </c>
      <c r="G29" s="279" t="s">
        <v>298</v>
      </c>
      <c r="H29" s="36">
        <v>13.7</v>
      </c>
      <c r="I29" s="36"/>
      <c r="J29" s="36"/>
      <c r="K29" s="36"/>
      <c r="L29" s="36"/>
      <c r="M29" s="36"/>
      <c r="N29" s="36"/>
      <c r="O29" s="36"/>
      <c r="P29" s="37">
        <f t="shared" si="2"/>
        <v>0</v>
      </c>
      <c r="Q29" s="484">
        <f t="shared" si="3"/>
        <v>13.7</v>
      </c>
      <c r="R29" s="491"/>
    </row>
    <row r="30" spans="1:19" ht="35.1" customHeight="1" x14ac:dyDescent="0.25">
      <c r="A30" s="492"/>
      <c r="B30" s="493"/>
      <c r="C30" s="62"/>
      <c r="D30" s="260" t="s">
        <v>18</v>
      </c>
      <c r="E30" s="494" t="s">
        <v>317</v>
      </c>
      <c r="F30" s="279" t="s">
        <v>507</v>
      </c>
      <c r="G30" s="279" t="s">
        <v>267</v>
      </c>
      <c r="H30" s="36"/>
      <c r="I30" s="36">
        <v>13.7</v>
      </c>
      <c r="J30" s="36"/>
      <c r="K30" s="36"/>
      <c r="L30" s="36"/>
      <c r="M30" s="36"/>
      <c r="N30" s="36"/>
      <c r="O30" s="36"/>
      <c r="P30" s="37">
        <f t="shared" si="2"/>
        <v>0</v>
      </c>
      <c r="Q30" s="484">
        <f t="shared" si="3"/>
        <v>13.7</v>
      </c>
      <c r="R30" s="495"/>
    </row>
    <row r="31" spans="1:19" ht="35.1" customHeight="1" x14ac:dyDescent="0.25">
      <c r="A31" s="492"/>
      <c r="B31" s="493"/>
      <c r="C31" s="62"/>
      <c r="D31" s="260" t="s">
        <v>18</v>
      </c>
      <c r="E31" s="224" t="s">
        <v>317</v>
      </c>
      <c r="F31" s="279" t="s">
        <v>544</v>
      </c>
      <c r="G31" s="279" t="s">
        <v>545</v>
      </c>
      <c r="H31" s="36"/>
      <c r="I31" s="36"/>
      <c r="J31" s="36"/>
      <c r="K31" s="34">
        <v>83</v>
      </c>
      <c r="L31" s="34"/>
      <c r="M31" s="34"/>
      <c r="N31" s="36"/>
      <c r="O31" s="34"/>
      <c r="P31" s="37">
        <f t="shared" si="2"/>
        <v>0</v>
      </c>
      <c r="Q31" s="484">
        <f t="shared" si="3"/>
        <v>83</v>
      </c>
      <c r="R31" s="495"/>
    </row>
    <row r="32" spans="1:19" ht="35.1" customHeight="1" x14ac:dyDescent="0.25">
      <c r="A32" s="492"/>
      <c r="B32" s="493"/>
      <c r="C32" s="62"/>
      <c r="D32" s="260" t="s">
        <v>18</v>
      </c>
      <c r="E32" s="494" t="s">
        <v>317</v>
      </c>
      <c r="F32" s="279" t="s">
        <v>544</v>
      </c>
      <c r="G32" s="279" t="s">
        <v>267</v>
      </c>
      <c r="H32" s="36"/>
      <c r="I32" s="36"/>
      <c r="J32" s="36"/>
      <c r="K32" s="34">
        <v>371.8</v>
      </c>
      <c r="L32" s="34"/>
      <c r="M32" s="34"/>
      <c r="N32" s="36"/>
      <c r="O32" s="34"/>
      <c r="P32" s="37">
        <f t="shared" si="2"/>
        <v>0</v>
      </c>
      <c r="Q32" s="484">
        <f t="shared" si="3"/>
        <v>371.8</v>
      </c>
      <c r="R32" s="495"/>
    </row>
    <row r="33" spans="1:18" ht="35.1" customHeight="1" x14ac:dyDescent="0.25">
      <c r="A33" s="496"/>
      <c r="B33" s="497"/>
      <c r="C33" s="219"/>
      <c r="D33" s="260" t="s">
        <v>18</v>
      </c>
      <c r="E33" s="224" t="s">
        <v>317</v>
      </c>
      <c r="F33" s="279" t="s">
        <v>546</v>
      </c>
      <c r="G33" s="279" t="s">
        <v>269</v>
      </c>
      <c r="H33" s="36"/>
      <c r="I33" s="36"/>
      <c r="J33" s="36"/>
      <c r="K33" s="34">
        <v>31.2</v>
      </c>
      <c r="L33" s="34"/>
      <c r="M33" s="34"/>
      <c r="N33" s="36"/>
      <c r="O33" s="34"/>
      <c r="P33" s="37">
        <f t="shared" si="2"/>
        <v>0</v>
      </c>
      <c r="Q33" s="484">
        <f t="shared" si="3"/>
        <v>31.2</v>
      </c>
      <c r="R33" s="498"/>
    </row>
    <row r="34" spans="1:18" s="152" customFormat="1" ht="35.1" customHeight="1" x14ac:dyDescent="0.25">
      <c r="A34" s="499" t="s">
        <v>449</v>
      </c>
      <c r="B34" s="499"/>
      <c r="C34" s="500"/>
      <c r="D34" s="500"/>
      <c r="E34" s="500"/>
      <c r="F34" s="500"/>
      <c r="G34" s="500"/>
      <c r="H34" s="23">
        <f>H25+H26+H27+H28+H29+H30</f>
        <v>61.7</v>
      </c>
      <c r="I34" s="23">
        <f>I25+I26+I27+I28+I29+I30</f>
        <v>61.7</v>
      </c>
      <c r="J34" s="23">
        <f>J25+J26+J27+J28+J29+J30</f>
        <v>0</v>
      </c>
      <c r="K34" s="23">
        <f>SUM(K26:K33)</f>
        <v>486</v>
      </c>
      <c r="L34" s="23">
        <f>SUM(L26:L33)</f>
        <v>0</v>
      </c>
      <c r="M34" s="23">
        <f>SUM(M26:M33)</f>
        <v>0</v>
      </c>
      <c r="N34" s="22">
        <f>SUM(N26:N33)</f>
        <v>0</v>
      </c>
      <c r="O34" s="23"/>
      <c r="P34" s="37">
        <f t="shared" si="2"/>
        <v>0</v>
      </c>
      <c r="Q34" s="484">
        <f t="shared" si="3"/>
        <v>609.4</v>
      </c>
      <c r="R34" s="34"/>
    </row>
    <row r="35" spans="1:18" ht="35.1" customHeight="1" x14ac:dyDescent="0.25">
      <c r="A35" s="368" t="s">
        <v>321</v>
      </c>
      <c r="B35" s="368"/>
      <c r="C35" s="302"/>
      <c r="D35" s="302"/>
      <c r="E35" s="302"/>
      <c r="F35" s="302"/>
      <c r="G35" s="302"/>
      <c r="H35" s="23">
        <f t="shared" ref="H35:M35" si="4">H23+H34</f>
        <v>6990.7000000000007</v>
      </c>
      <c r="I35" s="23">
        <f t="shared" si="4"/>
        <v>7764.9</v>
      </c>
      <c r="J35" s="23">
        <f t="shared" si="4"/>
        <v>7414.4000000000005</v>
      </c>
      <c r="K35" s="23">
        <f>K23+K34</f>
        <v>8058.3</v>
      </c>
      <c r="L35" s="23">
        <f t="shared" si="4"/>
        <v>7980.7999999999993</v>
      </c>
      <c r="M35" s="23">
        <f t="shared" si="4"/>
        <v>8394.0999999999985</v>
      </c>
      <c r="N35" s="22">
        <f>N23+N34</f>
        <v>9585.6999999999989</v>
      </c>
      <c r="O35" s="23">
        <f>O23+O34</f>
        <v>7628.7999999999993</v>
      </c>
      <c r="P35" s="501">
        <f t="shared" si="2"/>
        <v>7628.7999999999993</v>
      </c>
      <c r="Q35" s="484">
        <f t="shared" si="3"/>
        <v>71446.5</v>
      </c>
      <c r="R35" s="37"/>
    </row>
    <row r="36" spans="1:18" ht="35.1" customHeight="1" x14ac:dyDescent="0.25">
      <c r="A36" s="298" t="s">
        <v>322</v>
      </c>
      <c r="B36" s="299"/>
      <c r="C36" s="302"/>
      <c r="D36" s="302"/>
      <c r="E36" s="302"/>
      <c r="F36" s="302"/>
      <c r="G36" s="302"/>
      <c r="H36" s="23">
        <f>H14+H15+H20</f>
        <v>4599.6000000000004</v>
      </c>
      <c r="I36" s="23">
        <f>I14+I15+I20</f>
        <v>4788.3999999999996</v>
      </c>
      <c r="J36" s="23">
        <f>J14+J15+J20</f>
        <v>4560.6000000000004</v>
      </c>
      <c r="K36" s="23">
        <f>K14+K15+K20</f>
        <v>4565.7</v>
      </c>
      <c r="L36" s="23">
        <f>L14+L15+L20+L19</f>
        <v>5116.3999999999996</v>
      </c>
      <c r="M36" s="23">
        <f>M14+M15+M20+M19</f>
        <v>5258.7</v>
      </c>
      <c r="N36" s="22">
        <f>N14+N15+N20+N19</f>
        <v>6793.9</v>
      </c>
      <c r="O36" s="23">
        <f>O14+O15+O20+O19</f>
        <v>5927.4</v>
      </c>
      <c r="P36" s="501">
        <f t="shared" si="2"/>
        <v>5927.4</v>
      </c>
      <c r="Q36" s="484">
        <f t="shared" si="3"/>
        <v>47538.1</v>
      </c>
      <c r="R36" s="37"/>
    </row>
    <row r="37" spans="1:18" ht="35.1" customHeight="1" x14ac:dyDescent="0.25">
      <c r="A37" s="298" t="s">
        <v>323</v>
      </c>
      <c r="B37" s="299"/>
      <c r="C37" s="302"/>
      <c r="D37" s="302"/>
      <c r="E37" s="302"/>
      <c r="F37" s="302"/>
      <c r="G37" s="302"/>
      <c r="H37" s="23">
        <f>H9+H10+H11+H12+H13+H16+H17+H21+H25+H26+H27+H28+H29+H30+H31+H32+H33</f>
        <v>1858.1</v>
      </c>
      <c r="I37" s="23">
        <f>I9+I10+I11+I12+I13+I16+I17+I21+I25+I26+I27+I28+I29+I30+I31+I32+I33</f>
        <v>2271.2999999999997</v>
      </c>
      <c r="J37" s="23">
        <f>J9+J10+J11+J12+J13+J16+J17+J21+J25+J26+J27+J28+J29+J30+J31+J32+J33</f>
        <v>2162.4</v>
      </c>
      <c r="K37" s="23">
        <f>K9+K10+K11+K12+K13+K16+K17+K21+K26+K27+K28+K29+K30+K31+K32+K33+K25</f>
        <v>2801.2</v>
      </c>
      <c r="L37" s="23">
        <f>L9+L10+L11+L12+L13+L16+L17+L21+L26+L27+L28+L29+L30+L31+L32+L33+L25</f>
        <v>2173</v>
      </c>
      <c r="M37" s="23">
        <f>M9+M10+M11+M12+M13+M16+M17+M21+M26+M27+M28+M29+M30+M31+M32+M33+M25</f>
        <v>2354.1999999999998</v>
      </c>
      <c r="N37" s="22">
        <f>N9+N10+N11+N12+N13+N16+N17+N21+N26+N27+N28+N29+N30+N31+N32+N33+N25</f>
        <v>2791.7999999999997</v>
      </c>
      <c r="O37" s="23">
        <f>O9+O10+O11+O12+O13+O16+O17+O21+O26+O27+O28+O29+O30+O31+O32+O33+O25</f>
        <v>1701.4</v>
      </c>
      <c r="P37" s="501">
        <f t="shared" si="2"/>
        <v>1701.4</v>
      </c>
      <c r="Q37" s="484">
        <f t="shared" si="3"/>
        <v>19814.800000000003</v>
      </c>
      <c r="R37" s="37"/>
    </row>
    <row r="38" spans="1:18" ht="35.1" customHeight="1" x14ac:dyDescent="0.25">
      <c r="A38" s="298" t="s">
        <v>324</v>
      </c>
      <c r="B38" s="299"/>
      <c r="C38" s="302"/>
      <c r="D38" s="302"/>
      <c r="E38" s="302"/>
      <c r="F38" s="302"/>
      <c r="G38" s="302"/>
      <c r="H38" s="23">
        <f t="shared" ref="H38:M38" si="5">H18</f>
        <v>533</v>
      </c>
      <c r="I38" s="23">
        <f t="shared" si="5"/>
        <v>705.2</v>
      </c>
      <c r="J38" s="23">
        <f t="shared" si="5"/>
        <v>691.4</v>
      </c>
      <c r="K38" s="23">
        <f t="shared" si="5"/>
        <v>691.4</v>
      </c>
      <c r="L38" s="23">
        <f t="shared" si="5"/>
        <v>691.4</v>
      </c>
      <c r="M38" s="23">
        <f t="shared" si="5"/>
        <v>781.19999999999993</v>
      </c>
      <c r="N38" s="22">
        <f>N18</f>
        <v>0</v>
      </c>
      <c r="O38" s="23">
        <f>O18</f>
        <v>0</v>
      </c>
      <c r="P38" s="501">
        <f t="shared" si="2"/>
        <v>0</v>
      </c>
      <c r="Q38" s="484">
        <f t="shared" si="3"/>
        <v>4093.6</v>
      </c>
      <c r="R38" s="37"/>
    </row>
    <row r="39" spans="1:18" s="507" customFormat="1" ht="35.1" customHeight="1" x14ac:dyDescent="0.25">
      <c r="A39" s="502"/>
      <c r="B39" s="502"/>
      <c r="C39" s="503"/>
      <c r="D39" s="503"/>
      <c r="E39" s="503"/>
      <c r="F39" s="503"/>
      <c r="G39" s="503"/>
      <c r="H39" s="503"/>
      <c r="I39" s="504"/>
      <c r="J39" s="504"/>
      <c r="K39" s="505"/>
      <c r="L39" s="505"/>
      <c r="M39" s="505"/>
      <c r="N39" s="506"/>
      <c r="O39" s="505"/>
      <c r="P39" s="505"/>
      <c r="Q39" s="505"/>
    </row>
    <row r="40" spans="1:18" ht="35.1" customHeight="1" x14ac:dyDescent="0.3">
      <c r="A40" s="508" t="s">
        <v>33</v>
      </c>
      <c r="B40" s="508"/>
      <c r="C40" s="508"/>
      <c r="D40" s="509"/>
      <c r="E40" s="509"/>
      <c r="F40" s="509"/>
      <c r="G40" s="509"/>
      <c r="H40" s="509"/>
      <c r="I40" s="510"/>
      <c r="J40" s="329"/>
      <c r="K40" s="329"/>
      <c r="L40" s="329"/>
      <c r="M40" s="329"/>
      <c r="N40" s="511"/>
      <c r="O40" s="329"/>
      <c r="P40" s="329"/>
      <c r="Q40" s="329"/>
      <c r="R40" s="512" t="s">
        <v>34</v>
      </c>
    </row>
    <row r="41" spans="1:18" x14ac:dyDescent="0.25">
      <c r="A41" s="314"/>
      <c r="B41" s="315"/>
      <c r="C41" s="316"/>
      <c r="D41" s="316"/>
      <c r="E41" s="316"/>
      <c r="F41" s="316"/>
      <c r="G41" s="316"/>
      <c r="H41" s="316"/>
    </row>
    <row r="42" spans="1:18" x14ac:dyDescent="0.25">
      <c r="A42" s="314"/>
      <c r="B42" s="315"/>
      <c r="C42" s="316"/>
      <c r="D42" s="316"/>
      <c r="E42" s="316"/>
      <c r="F42" s="316"/>
      <c r="G42" s="316"/>
      <c r="H42" s="316"/>
    </row>
    <row r="43" spans="1:18" x14ac:dyDescent="0.25">
      <c r="A43" s="314"/>
      <c r="B43" s="315"/>
      <c r="C43" s="316"/>
      <c r="D43" s="316"/>
      <c r="E43" s="316"/>
      <c r="F43" s="316"/>
      <c r="G43" s="316"/>
      <c r="H43" s="316"/>
    </row>
    <row r="44" spans="1:18" x14ac:dyDescent="0.25">
      <c r="A44" s="314"/>
      <c r="B44" s="315"/>
      <c r="C44" s="316"/>
      <c r="D44" s="316"/>
      <c r="E44" s="316"/>
      <c r="F44" s="316"/>
      <c r="G44" s="316"/>
      <c r="H44" s="316"/>
    </row>
    <row r="45" spans="1:18" x14ac:dyDescent="0.25">
      <c r="A45" s="314"/>
      <c r="B45" s="315"/>
      <c r="C45" s="316"/>
      <c r="D45" s="316"/>
      <c r="E45" s="316"/>
      <c r="F45" s="316"/>
      <c r="G45" s="316"/>
      <c r="H45" s="316"/>
    </row>
    <row r="46" spans="1:18" x14ac:dyDescent="0.25">
      <c r="A46" s="314"/>
      <c r="B46" s="315"/>
      <c r="C46" s="316"/>
      <c r="D46" s="316"/>
      <c r="E46" s="316"/>
      <c r="F46" s="316"/>
      <c r="G46" s="316"/>
      <c r="H46" s="316"/>
    </row>
    <row r="47" spans="1:18" x14ac:dyDescent="0.25">
      <c r="A47" s="314"/>
      <c r="B47" s="315"/>
      <c r="C47" s="316"/>
      <c r="D47" s="316"/>
      <c r="E47" s="316"/>
      <c r="F47" s="316"/>
      <c r="G47" s="316"/>
      <c r="H47" s="316"/>
    </row>
    <row r="48" spans="1:18" x14ac:dyDescent="0.25">
      <c r="A48" s="314"/>
      <c r="B48" s="315"/>
      <c r="C48" s="316"/>
      <c r="D48" s="316"/>
      <c r="E48" s="316"/>
      <c r="F48" s="316"/>
      <c r="G48" s="316"/>
      <c r="H48" s="316"/>
    </row>
    <row r="49" spans="1:8" x14ac:dyDescent="0.25">
      <c r="A49" s="314"/>
      <c r="B49" s="315"/>
      <c r="C49" s="316"/>
      <c r="D49" s="316"/>
      <c r="E49" s="316"/>
      <c r="F49" s="316"/>
      <c r="G49" s="316"/>
      <c r="H49" s="316"/>
    </row>
    <row r="50" spans="1:8" x14ac:dyDescent="0.25">
      <c r="A50" s="314"/>
      <c r="B50" s="315"/>
      <c r="C50" s="316"/>
      <c r="D50" s="316"/>
      <c r="E50" s="316"/>
      <c r="F50" s="316"/>
      <c r="G50" s="316"/>
      <c r="H50" s="316"/>
    </row>
    <row r="51" spans="1:8" x14ac:dyDescent="0.25">
      <c r="A51" s="314"/>
      <c r="B51" s="315"/>
      <c r="C51" s="316"/>
      <c r="D51" s="316"/>
      <c r="E51" s="316"/>
      <c r="F51" s="316"/>
      <c r="G51" s="316"/>
      <c r="H51" s="316"/>
    </row>
    <row r="52" spans="1:8" x14ac:dyDescent="0.25">
      <c r="A52" s="314"/>
      <c r="B52" s="315"/>
      <c r="C52" s="316"/>
      <c r="D52" s="316"/>
      <c r="E52" s="316"/>
      <c r="F52" s="316"/>
      <c r="G52" s="316"/>
      <c r="H52" s="316"/>
    </row>
    <row r="53" spans="1:8" x14ac:dyDescent="0.25">
      <c r="A53" s="314"/>
      <c r="B53" s="315"/>
      <c r="C53" s="316"/>
      <c r="D53" s="316"/>
      <c r="E53" s="316"/>
      <c r="F53" s="316"/>
      <c r="G53" s="316"/>
      <c r="H53" s="316"/>
    </row>
    <row r="54" spans="1:8" x14ac:dyDescent="0.25">
      <c r="A54" s="314"/>
      <c r="B54" s="315"/>
      <c r="C54" s="316"/>
      <c r="D54" s="316"/>
      <c r="E54" s="316"/>
      <c r="F54" s="316"/>
      <c r="G54" s="316"/>
      <c r="H54" s="316"/>
    </row>
    <row r="55" spans="1:8" x14ac:dyDescent="0.25">
      <c r="A55" s="314"/>
      <c r="B55" s="315"/>
      <c r="C55" s="316"/>
      <c r="D55" s="316"/>
      <c r="E55" s="316"/>
      <c r="F55" s="316"/>
      <c r="G55" s="316"/>
      <c r="H55" s="316"/>
    </row>
    <row r="56" spans="1:8" x14ac:dyDescent="0.25">
      <c r="A56" s="314"/>
      <c r="B56" s="315"/>
      <c r="C56" s="316"/>
      <c r="D56" s="316"/>
      <c r="E56" s="316"/>
      <c r="F56" s="316"/>
      <c r="G56" s="316"/>
      <c r="H56" s="316"/>
    </row>
    <row r="57" spans="1:8" x14ac:dyDescent="0.25">
      <c r="A57" s="314"/>
      <c r="B57" s="315"/>
      <c r="C57" s="316"/>
      <c r="D57" s="316"/>
      <c r="E57" s="316"/>
      <c r="F57" s="316"/>
      <c r="G57" s="316"/>
      <c r="H57" s="316"/>
    </row>
    <row r="58" spans="1:8" x14ac:dyDescent="0.25">
      <c r="A58" s="314"/>
      <c r="B58" s="315"/>
      <c r="C58" s="316"/>
      <c r="D58" s="316"/>
      <c r="E58" s="316"/>
      <c r="F58" s="316"/>
      <c r="G58" s="316"/>
      <c r="H58" s="316"/>
    </row>
    <row r="59" spans="1:8" x14ac:dyDescent="0.25">
      <c r="A59" s="314"/>
      <c r="B59" s="315"/>
      <c r="C59" s="316"/>
      <c r="D59" s="316"/>
      <c r="E59" s="316"/>
      <c r="F59" s="316"/>
      <c r="G59" s="316"/>
      <c r="H59" s="316"/>
    </row>
    <row r="60" spans="1:8" x14ac:dyDescent="0.25">
      <c r="A60" s="314"/>
      <c r="B60" s="315"/>
      <c r="C60" s="316"/>
      <c r="D60" s="316"/>
      <c r="E60" s="316"/>
      <c r="F60" s="316"/>
      <c r="G60" s="316"/>
      <c r="H60" s="316"/>
    </row>
    <row r="61" spans="1:8" x14ac:dyDescent="0.25">
      <c r="A61" s="314"/>
      <c r="B61" s="315"/>
      <c r="C61" s="316"/>
      <c r="D61" s="316"/>
      <c r="E61" s="316"/>
      <c r="F61" s="316"/>
      <c r="G61" s="316"/>
      <c r="H61" s="316"/>
    </row>
    <row r="62" spans="1:8" x14ac:dyDescent="0.25">
      <c r="A62" s="314"/>
      <c r="B62" s="315"/>
      <c r="C62" s="316"/>
      <c r="D62" s="316"/>
      <c r="E62" s="316"/>
      <c r="F62" s="316"/>
      <c r="G62" s="316"/>
      <c r="H62" s="316"/>
    </row>
    <row r="63" spans="1:8" x14ac:dyDescent="0.25">
      <c r="A63" s="314"/>
      <c r="B63" s="315"/>
      <c r="C63" s="316"/>
      <c r="D63" s="316"/>
      <c r="E63" s="316"/>
      <c r="F63" s="316"/>
      <c r="G63" s="316"/>
      <c r="H63" s="316"/>
    </row>
    <row r="64" spans="1:8" x14ac:dyDescent="0.25">
      <c r="A64" s="314"/>
      <c r="B64" s="315"/>
      <c r="C64" s="316"/>
      <c r="D64" s="316"/>
      <c r="E64" s="316"/>
      <c r="F64" s="316"/>
      <c r="G64" s="316"/>
      <c r="H64" s="316"/>
    </row>
    <row r="65" spans="1:8" x14ac:dyDescent="0.25">
      <c r="A65" s="314"/>
      <c r="B65" s="315"/>
      <c r="C65" s="316"/>
      <c r="D65" s="316"/>
      <c r="E65" s="316"/>
      <c r="F65" s="316"/>
      <c r="G65" s="316"/>
      <c r="H65" s="316"/>
    </row>
    <row r="66" spans="1:8" x14ac:dyDescent="0.25">
      <c r="A66" s="314"/>
      <c r="B66" s="315"/>
      <c r="C66" s="316"/>
      <c r="D66" s="316"/>
      <c r="E66" s="316"/>
      <c r="F66" s="316"/>
      <c r="G66" s="316"/>
      <c r="H66" s="316"/>
    </row>
    <row r="67" spans="1:8" x14ac:dyDescent="0.25">
      <c r="A67" s="314"/>
      <c r="B67" s="315"/>
      <c r="C67" s="316"/>
      <c r="D67" s="316"/>
      <c r="E67" s="316"/>
      <c r="F67" s="316"/>
      <c r="G67" s="316"/>
      <c r="H67" s="316"/>
    </row>
    <row r="68" spans="1:8" x14ac:dyDescent="0.25">
      <c r="A68" s="314"/>
      <c r="B68" s="315"/>
      <c r="C68" s="316"/>
      <c r="D68" s="316"/>
      <c r="E68" s="316"/>
      <c r="F68" s="316"/>
      <c r="G68" s="316"/>
      <c r="H68" s="316"/>
    </row>
    <row r="69" spans="1:8" x14ac:dyDescent="0.25">
      <c r="A69" s="314"/>
      <c r="B69" s="315"/>
      <c r="C69" s="316"/>
      <c r="D69" s="316"/>
      <c r="E69" s="316"/>
      <c r="F69" s="316"/>
      <c r="G69" s="316"/>
      <c r="H69" s="316"/>
    </row>
    <row r="70" spans="1:8" x14ac:dyDescent="0.25">
      <c r="A70" s="314"/>
      <c r="B70" s="315"/>
      <c r="C70" s="316"/>
      <c r="D70" s="316"/>
      <c r="E70" s="316"/>
      <c r="F70" s="316"/>
      <c r="G70" s="316"/>
      <c r="H70" s="316"/>
    </row>
    <row r="71" spans="1:8" x14ac:dyDescent="0.25">
      <c r="A71" s="314"/>
      <c r="B71" s="315"/>
      <c r="C71" s="316"/>
      <c r="D71" s="316"/>
      <c r="E71" s="316"/>
      <c r="F71" s="316"/>
      <c r="G71" s="316"/>
      <c r="H71" s="316"/>
    </row>
    <row r="72" spans="1:8" x14ac:dyDescent="0.25">
      <c r="A72" s="314"/>
      <c r="B72" s="315"/>
      <c r="C72" s="316"/>
      <c r="D72" s="316"/>
      <c r="E72" s="316"/>
      <c r="F72" s="316"/>
      <c r="G72" s="316"/>
      <c r="H72" s="316"/>
    </row>
    <row r="73" spans="1:8" x14ac:dyDescent="0.25">
      <c r="A73" s="314"/>
      <c r="B73" s="315"/>
      <c r="C73" s="316"/>
      <c r="D73" s="316"/>
      <c r="E73" s="316"/>
      <c r="F73" s="316"/>
      <c r="G73" s="316"/>
      <c r="H73" s="316"/>
    </row>
    <row r="74" spans="1:8" x14ac:dyDescent="0.25">
      <c r="A74" s="314"/>
      <c r="B74" s="315"/>
      <c r="C74" s="316"/>
      <c r="D74" s="316"/>
      <c r="E74" s="316"/>
      <c r="F74" s="316"/>
      <c r="G74" s="316"/>
      <c r="H74" s="316"/>
    </row>
    <row r="75" spans="1:8" x14ac:dyDescent="0.25">
      <c r="A75" s="314"/>
      <c r="B75" s="315"/>
      <c r="C75" s="316"/>
      <c r="D75" s="316"/>
      <c r="E75" s="316"/>
      <c r="F75" s="316"/>
      <c r="G75" s="316"/>
      <c r="H75" s="316"/>
    </row>
    <row r="76" spans="1:8" x14ac:dyDescent="0.25">
      <c r="A76" s="314"/>
      <c r="B76" s="315"/>
      <c r="C76" s="316"/>
      <c r="D76" s="316"/>
      <c r="E76" s="316"/>
      <c r="F76" s="316"/>
      <c r="G76" s="316"/>
      <c r="H76" s="316"/>
    </row>
    <row r="77" spans="1:8" x14ac:dyDescent="0.25">
      <c r="A77" s="314"/>
      <c r="B77" s="315"/>
      <c r="C77" s="316"/>
      <c r="D77" s="316"/>
      <c r="E77" s="316"/>
      <c r="F77" s="316"/>
      <c r="G77" s="316"/>
      <c r="H77" s="316"/>
    </row>
  </sheetData>
  <autoFilter ref="A4:S35"/>
  <mergeCells count="45">
    <mergeCell ref="A40:C40"/>
    <mergeCell ref="A34:B34"/>
    <mergeCell ref="A35:B35"/>
    <mergeCell ref="A36:B36"/>
    <mergeCell ref="A37:B37"/>
    <mergeCell ref="A38:B38"/>
    <mergeCell ref="A39:B39"/>
    <mergeCell ref="A27:A28"/>
    <mergeCell ref="B27:B28"/>
    <mergeCell ref="C27:C28"/>
    <mergeCell ref="R27:R28"/>
    <mergeCell ref="A29:A33"/>
    <mergeCell ref="B29:B33"/>
    <mergeCell ref="C29:C33"/>
    <mergeCell ref="R29:R33"/>
    <mergeCell ref="A23:B23"/>
    <mergeCell ref="A24:R24"/>
    <mergeCell ref="A25:A26"/>
    <mergeCell ref="B25:B26"/>
    <mergeCell ref="C25:C26"/>
    <mergeCell ref="R25:R26"/>
    <mergeCell ref="A12:A13"/>
    <mergeCell ref="B12:B13"/>
    <mergeCell ref="C12:C13"/>
    <mergeCell ref="R12:R13"/>
    <mergeCell ref="A14:A18"/>
    <mergeCell ref="B14:B15"/>
    <mergeCell ref="C14:C18"/>
    <mergeCell ref="R14:R18"/>
    <mergeCell ref="B16:B17"/>
    <mergeCell ref="A5:R5"/>
    <mergeCell ref="A7:R7"/>
    <mergeCell ref="A8:A10"/>
    <mergeCell ref="B8:B10"/>
    <mergeCell ref="C8:C10"/>
    <mergeCell ref="R9:R10"/>
    <mergeCell ref="I1:J1"/>
    <mergeCell ref="Q1:R1"/>
    <mergeCell ref="A2:R2"/>
    <mergeCell ref="A3:A4"/>
    <mergeCell ref="B3:B4"/>
    <mergeCell ref="C3:C4"/>
    <mergeCell ref="D3:G3"/>
    <mergeCell ref="I3:Q3"/>
    <mergeCell ref="R3:R4"/>
  </mergeCells>
  <pageMargins left="0.51181102362204722" right="0.39370078740157483" top="0.55118110236220474" bottom="0.35433070866141736" header="0.31496062992125984" footer="0.31496062992125984"/>
  <pageSetup paperSize="9" scale="47" fitToHeight="8" orientation="landscape" r:id="rId1"/>
  <headerFooter differentFirst="1">
    <oddHeader>&amp;C&amp;P</oddHeader>
  </headerFooter>
  <rowBreaks count="2" manualBreakCount="2">
    <brk id="8" max="11" man="1"/>
    <brk id="19" max="1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N37"/>
  <sheetViews>
    <sheetView view="pageBreakPreview" zoomScaleNormal="100" zoomScaleSheetLayoutView="100" workbookViewId="0">
      <pane xSplit="2" ySplit="6" topLeftCell="E28" activePane="bottomRight" state="frozen"/>
      <selection activeCell="Q12" sqref="Q12"/>
      <selection pane="topRight" activeCell="Q12" sqref="Q12"/>
      <selection pane="bottomLeft" activeCell="Q12" sqref="Q12"/>
      <selection pane="bottomRight" activeCell="L32" sqref="L32"/>
    </sheetView>
  </sheetViews>
  <sheetFormatPr defaultRowHeight="15.75" x14ac:dyDescent="0.25"/>
  <cols>
    <col min="1" max="1" width="7.5703125" style="184" customWidth="1"/>
    <col min="2" max="2" width="79.140625" style="53" customWidth="1"/>
    <col min="3" max="3" width="12" style="53" customWidth="1"/>
    <col min="4" max="4" width="24.42578125" style="53" customWidth="1"/>
    <col min="5" max="11" width="10.7109375" style="53" customWidth="1"/>
    <col min="12" max="12" width="10.7109375" style="122" customWidth="1"/>
    <col min="13" max="13" width="9.140625" style="513"/>
    <col min="14" max="16384" width="9.140625" style="53"/>
  </cols>
  <sheetData>
    <row r="1" spans="1:13" ht="50.25" customHeight="1" x14ac:dyDescent="0.25">
      <c r="A1" s="118"/>
      <c r="B1" s="119"/>
      <c r="C1" s="120"/>
      <c r="D1" s="119"/>
      <c r="E1" s="121" t="s">
        <v>547</v>
      </c>
      <c r="F1" s="121"/>
      <c r="G1" s="121"/>
      <c r="H1" s="121"/>
      <c r="I1" s="121"/>
      <c r="J1" s="121"/>
      <c r="K1" s="121"/>
    </row>
    <row r="2" spans="1:13" ht="37.5" customHeight="1" x14ac:dyDescent="0.25">
      <c r="A2" s="208" t="s">
        <v>246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</row>
    <row r="3" spans="1:13" ht="25.5" customHeight="1" x14ac:dyDescent="0.25">
      <c r="A3" s="124" t="s">
        <v>89</v>
      </c>
      <c r="B3" s="125" t="s">
        <v>247</v>
      </c>
      <c r="C3" s="125" t="s">
        <v>91</v>
      </c>
      <c r="D3" s="125" t="s">
        <v>93</v>
      </c>
      <c r="E3" s="50" t="s">
        <v>41</v>
      </c>
      <c r="F3" s="50" t="s">
        <v>42</v>
      </c>
      <c r="G3" s="50" t="s">
        <v>43</v>
      </c>
      <c r="H3" s="50" t="s">
        <v>44</v>
      </c>
      <c r="I3" s="50" t="s">
        <v>45</v>
      </c>
      <c r="J3" s="50" t="s">
        <v>46</v>
      </c>
      <c r="K3" s="50" t="s">
        <v>47</v>
      </c>
      <c r="L3" s="50" t="s">
        <v>48</v>
      </c>
      <c r="M3" s="50" t="s">
        <v>49</v>
      </c>
    </row>
    <row r="4" spans="1:13" ht="12" customHeight="1" x14ac:dyDescent="0.25">
      <c r="A4" s="124"/>
      <c r="B4" s="125"/>
      <c r="C4" s="125"/>
      <c r="D4" s="125"/>
      <c r="E4" s="50"/>
      <c r="F4" s="50"/>
      <c r="G4" s="50"/>
      <c r="H4" s="50"/>
      <c r="I4" s="50"/>
      <c r="J4" s="50"/>
      <c r="K4" s="50"/>
      <c r="L4" s="50"/>
      <c r="M4" s="50"/>
    </row>
    <row r="5" spans="1:13" ht="25.5" customHeight="1" x14ac:dyDescent="0.25">
      <c r="A5" s="124"/>
      <c r="B5" s="125"/>
      <c r="C5" s="125"/>
      <c r="D5" s="125"/>
      <c r="E5" s="50"/>
      <c r="F5" s="50"/>
      <c r="G5" s="50"/>
      <c r="H5" s="50"/>
      <c r="I5" s="50"/>
      <c r="J5" s="50"/>
      <c r="K5" s="50"/>
      <c r="L5" s="50"/>
      <c r="M5" s="50"/>
    </row>
    <row r="6" spans="1:13" ht="27" customHeight="1" x14ac:dyDescent="0.25">
      <c r="A6" s="514" t="s">
        <v>548</v>
      </c>
      <c r="B6" s="514"/>
      <c r="C6" s="514"/>
      <c r="D6" s="514"/>
      <c r="E6" s="514"/>
      <c r="F6" s="514"/>
      <c r="G6" s="514"/>
      <c r="H6" s="514"/>
      <c r="I6" s="514"/>
      <c r="J6" s="514"/>
      <c r="K6" s="514"/>
      <c r="L6" s="515"/>
    </row>
    <row r="7" spans="1:13" ht="33" customHeight="1" x14ac:dyDescent="0.25">
      <c r="A7" s="247" t="s">
        <v>549</v>
      </c>
      <c r="B7" s="247"/>
      <c r="C7" s="247"/>
      <c r="D7" s="247"/>
      <c r="E7" s="247"/>
      <c r="F7" s="247"/>
      <c r="G7" s="247"/>
      <c r="H7" s="247"/>
      <c r="I7" s="247"/>
      <c r="J7" s="247"/>
      <c r="K7" s="247"/>
      <c r="L7" s="515"/>
    </row>
    <row r="8" spans="1:13" ht="42" customHeight="1" x14ac:dyDescent="0.25">
      <c r="A8" s="128" t="s">
        <v>550</v>
      </c>
      <c r="B8" s="130" t="s">
        <v>182</v>
      </c>
      <c r="C8" s="128" t="s">
        <v>183</v>
      </c>
      <c r="D8" s="128" t="s">
        <v>21</v>
      </c>
      <c r="E8" s="12">
        <v>1460</v>
      </c>
      <c r="F8" s="516">
        <v>1470</v>
      </c>
      <c r="G8" s="128">
        <v>1470</v>
      </c>
      <c r="H8" s="128">
        <v>2863</v>
      </c>
      <c r="I8" s="128">
        <v>3174</v>
      </c>
      <c r="J8" s="128">
        <v>3205</v>
      </c>
      <c r="K8" s="128">
        <v>3205</v>
      </c>
      <c r="L8" s="128">
        <v>3205</v>
      </c>
      <c r="M8" s="128">
        <v>3205</v>
      </c>
    </row>
    <row r="9" spans="1:13" ht="31.5" x14ac:dyDescent="0.25">
      <c r="A9" s="128" t="s">
        <v>184</v>
      </c>
      <c r="B9" s="130" t="s">
        <v>185</v>
      </c>
      <c r="C9" s="128" t="s">
        <v>183</v>
      </c>
      <c r="D9" s="128" t="s">
        <v>21</v>
      </c>
      <c r="E9" s="12">
        <v>28870</v>
      </c>
      <c r="F9" s="516">
        <v>29600</v>
      </c>
      <c r="G9" s="128">
        <v>30690</v>
      </c>
      <c r="H9" s="128">
        <v>32180</v>
      </c>
      <c r="I9" s="128">
        <v>33390</v>
      </c>
      <c r="J9" s="128">
        <v>33390</v>
      </c>
      <c r="K9" s="128">
        <v>33390</v>
      </c>
      <c r="L9" s="128">
        <v>33390</v>
      </c>
      <c r="M9" s="128">
        <v>33390</v>
      </c>
    </row>
    <row r="10" spans="1:13" ht="63" x14ac:dyDescent="0.25">
      <c r="A10" s="128" t="s">
        <v>186</v>
      </c>
      <c r="B10" s="130" t="s">
        <v>187</v>
      </c>
      <c r="C10" s="128" t="s">
        <v>183</v>
      </c>
      <c r="D10" s="128" t="s">
        <v>21</v>
      </c>
      <c r="E10" s="12">
        <v>17972</v>
      </c>
      <c r="F10" s="516">
        <v>18638</v>
      </c>
      <c r="G10" s="128">
        <v>19328</v>
      </c>
      <c r="H10" s="128">
        <v>21911</v>
      </c>
      <c r="I10" s="128">
        <v>24405</v>
      </c>
      <c r="J10" s="128">
        <v>24405</v>
      </c>
      <c r="K10" s="128">
        <v>24405</v>
      </c>
      <c r="L10" s="128">
        <v>24405</v>
      </c>
      <c r="M10" s="128">
        <v>24405</v>
      </c>
    </row>
    <row r="11" spans="1:13" ht="31.5" x14ac:dyDescent="0.25">
      <c r="A11" s="128" t="s">
        <v>188</v>
      </c>
      <c r="B11" s="130" t="s">
        <v>189</v>
      </c>
      <c r="C11" s="128" t="s">
        <v>190</v>
      </c>
      <c r="D11" s="128" t="s">
        <v>102</v>
      </c>
      <c r="E11" s="12">
        <v>25.02</v>
      </c>
      <c r="F11" s="11">
        <v>25</v>
      </c>
      <c r="G11" s="128">
        <v>25</v>
      </c>
      <c r="H11" s="128">
        <v>23.9</v>
      </c>
      <c r="I11" s="128">
        <v>24</v>
      </c>
      <c r="J11" s="128">
        <v>24</v>
      </c>
      <c r="K11" s="128">
        <v>24</v>
      </c>
      <c r="L11" s="128">
        <v>24</v>
      </c>
      <c r="M11" s="128">
        <v>24</v>
      </c>
    </row>
    <row r="12" spans="1:13" ht="31.5" x14ac:dyDescent="0.25">
      <c r="A12" s="128" t="s">
        <v>191</v>
      </c>
      <c r="B12" s="130" t="s">
        <v>192</v>
      </c>
      <c r="C12" s="128" t="s">
        <v>190</v>
      </c>
      <c r="D12" s="128" t="s">
        <v>102</v>
      </c>
      <c r="E12" s="12">
        <v>18.82</v>
      </c>
      <c r="F12" s="11">
        <v>18.82</v>
      </c>
      <c r="G12" s="128">
        <v>18.8</v>
      </c>
      <c r="H12" s="128">
        <v>17</v>
      </c>
      <c r="I12" s="128">
        <v>17</v>
      </c>
      <c r="J12" s="128">
        <v>17</v>
      </c>
      <c r="K12" s="128">
        <v>17</v>
      </c>
      <c r="L12" s="128">
        <v>17</v>
      </c>
      <c r="M12" s="128">
        <v>17</v>
      </c>
    </row>
    <row r="13" spans="1:13" ht="78.75" x14ac:dyDescent="0.25">
      <c r="A13" s="128" t="s">
        <v>193</v>
      </c>
      <c r="B13" s="130" t="s">
        <v>194</v>
      </c>
      <c r="C13" s="128" t="s">
        <v>195</v>
      </c>
      <c r="D13" s="128" t="s">
        <v>102</v>
      </c>
      <c r="E13" s="12">
        <v>0.7</v>
      </c>
      <c r="F13" s="11">
        <v>0.7</v>
      </c>
      <c r="G13" s="128">
        <v>0.7</v>
      </c>
      <c r="H13" s="128">
        <v>0.7</v>
      </c>
      <c r="I13" s="128">
        <v>0.7</v>
      </c>
      <c r="J13" s="128">
        <v>0.7</v>
      </c>
      <c r="K13" s="128">
        <v>0.7</v>
      </c>
      <c r="L13" s="128">
        <v>0.7</v>
      </c>
      <c r="M13" s="128">
        <v>0.7</v>
      </c>
    </row>
    <row r="14" spans="1:13" ht="31.5" x14ac:dyDescent="0.25">
      <c r="A14" s="128" t="s">
        <v>196</v>
      </c>
      <c r="B14" s="130" t="s">
        <v>197</v>
      </c>
      <c r="C14" s="128" t="s">
        <v>132</v>
      </c>
      <c r="D14" s="128" t="s">
        <v>21</v>
      </c>
      <c r="E14" s="128">
        <v>18</v>
      </c>
      <c r="F14" s="128">
        <v>18</v>
      </c>
      <c r="G14" s="128">
        <v>18</v>
      </c>
      <c r="H14" s="128">
        <v>14</v>
      </c>
      <c r="I14" s="128">
        <v>14</v>
      </c>
      <c r="J14" s="128">
        <v>14</v>
      </c>
      <c r="K14" s="128">
        <v>14</v>
      </c>
      <c r="L14" s="128">
        <v>14</v>
      </c>
      <c r="M14" s="128">
        <v>14</v>
      </c>
    </row>
    <row r="15" spans="1:13" ht="68.25" customHeight="1" x14ac:dyDescent="0.25">
      <c r="A15" s="128" t="s">
        <v>198</v>
      </c>
      <c r="B15" s="130" t="s">
        <v>199</v>
      </c>
      <c r="C15" s="128" t="s">
        <v>200</v>
      </c>
      <c r="D15" s="128" t="s">
        <v>201</v>
      </c>
      <c r="E15" s="128">
        <v>5</v>
      </c>
      <c r="F15" s="128">
        <v>5</v>
      </c>
      <c r="G15" s="128">
        <v>5</v>
      </c>
      <c r="H15" s="128">
        <v>5</v>
      </c>
      <c r="I15" s="128">
        <v>5</v>
      </c>
      <c r="J15" s="128">
        <v>5</v>
      </c>
      <c r="K15" s="128">
        <v>5</v>
      </c>
      <c r="L15" s="128">
        <v>5</v>
      </c>
      <c r="M15" s="128">
        <v>5</v>
      </c>
    </row>
    <row r="16" spans="1:13" ht="72.75" customHeight="1" x14ac:dyDescent="0.25">
      <c r="A16" s="35" t="s">
        <v>202</v>
      </c>
      <c r="B16" s="517" t="s">
        <v>203</v>
      </c>
      <c r="C16" s="128" t="s">
        <v>200</v>
      </c>
      <c r="D16" s="128" t="s">
        <v>201</v>
      </c>
      <c r="E16" s="34">
        <v>5</v>
      </c>
      <c r="F16" s="34">
        <v>5</v>
      </c>
      <c r="G16" s="34">
        <v>5</v>
      </c>
      <c r="H16" s="34">
        <v>5</v>
      </c>
      <c r="I16" s="34">
        <v>5</v>
      </c>
      <c r="J16" s="34">
        <v>5</v>
      </c>
      <c r="K16" s="34">
        <v>5</v>
      </c>
      <c r="L16" s="34">
        <v>5</v>
      </c>
      <c r="M16" s="34">
        <v>5</v>
      </c>
    </row>
    <row r="17" spans="1:14" ht="157.5" x14ac:dyDescent="0.25">
      <c r="A17" s="35" t="s">
        <v>204</v>
      </c>
      <c r="B17" s="174" t="s">
        <v>551</v>
      </c>
      <c r="C17" s="128" t="s">
        <v>200</v>
      </c>
      <c r="D17" s="128" t="s">
        <v>201</v>
      </c>
      <c r="E17" s="34">
        <v>5</v>
      </c>
      <c r="F17" s="34">
        <v>5</v>
      </c>
      <c r="G17" s="34">
        <v>5</v>
      </c>
      <c r="H17" s="34">
        <v>5</v>
      </c>
      <c r="I17" s="34">
        <v>5</v>
      </c>
      <c r="J17" s="34">
        <v>5</v>
      </c>
      <c r="K17" s="34">
        <v>5</v>
      </c>
      <c r="L17" s="34">
        <v>5</v>
      </c>
      <c r="M17" s="34">
        <v>5</v>
      </c>
    </row>
    <row r="18" spans="1:14" ht="94.5" x14ac:dyDescent="0.25">
      <c r="A18" s="35" t="s">
        <v>552</v>
      </c>
      <c r="B18" s="174" t="s">
        <v>207</v>
      </c>
      <c r="C18" s="128" t="s">
        <v>200</v>
      </c>
      <c r="D18" s="128" t="s">
        <v>201</v>
      </c>
      <c r="E18" s="34">
        <v>5</v>
      </c>
      <c r="F18" s="34">
        <v>5</v>
      </c>
      <c r="G18" s="34">
        <v>5</v>
      </c>
      <c r="H18" s="34">
        <v>5</v>
      </c>
      <c r="I18" s="34">
        <v>5</v>
      </c>
      <c r="J18" s="34">
        <v>5</v>
      </c>
      <c r="K18" s="34">
        <v>5</v>
      </c>
      <c r="L18" s="34">
        <v>5</v>
      </c>
      <c r="M18" s="34">
        <v>5</v>
      </c>
    </row>
    <row r="19" spans="1:14" ht="63" x14ac:dyDescent="0.25">
      <c r="A19" s="35" t="s">
        <v>208</v>
      </c>
      <c r="B19" s="174" t="s">
        <v>209</v>
      </c>
      <c r="C19" s="128" t="s">
        <v>200</v>
      </c>
      <c r="D19" s="128" t="s">
        <v>553</v>
      </c>
      <c r="E19" s="34">
        <v>5</v>
      </c>
      <c r="F19" s="34">
        <v>5</v>
      </c>
      <c r="G19" s="34">
        <v>5</v>
      </c>
      <c r="H19" s="34">
        <v>5</v>
      </c>
      <c r="I19" s="34">
        <v>5</v>
      </c>
      <c r="J19" s="34">
        <v>5</v>
      </c>
      <c r="K19" s="34">
        <v>5</v>
      </c>
      <c r="L19" s="34">
        <v>5</v>
      </c>
      <c r="M19" s="34">
        <v>5</v>
      </c>
    </row>
    <row r="20" spans="1:14" ht="63" x14ac:dyDescent="0.25">
      <c r="A20" s="35" t="s">
        <v>210</v>
      </c>
      <c r="B20" s="174" t="s">
        <v>554</v>
      </c>
      <c r="C20" s="128" t="s">
        <v>200</v>
      </c>
      <c r="D20" s="128" t="s">
        <v>553</v>
      </c>
      <c r="E20" s="34">
        <v>5</v>
      </c>
      <c r="F20" s="34">
        <v>5</v>
      </c>
      <c r="G20" s="34">
        <v>5</v>
      </c>
      <c r="H20" s="34">
        <v>5</v>
      </c>
      <c r="I20" s="34">
        <v>5</v>
      </c>
      <c r="J20" s="34">
        <v>5</v>
      </c>
      <c r="K20" s="34">
        <v>5</v>
      </c>
      <c r="L20" s="34">
        <v>5</v>
      </c>
      <c r="M20" s="34">
        <v>5</v>
      </c>
    </row>
    <row r="21" spans="1:14" ht="63" x14ac:dyDescent="0.25">
      <c r="A21" s="35" t="s">
        <v>212</v>
      </c>
      <c r="B21" s="174" t="s">
        <v>213</v>
      </c>
      <c r="C21" s="128" t="s">
        <v>200</v>
      </c>
      <c r="D21" s="128" t="s">
        <v>201</v>
      </c>
      <c r="E21" s="34">
        <v>5</v>
      </c>
      <c r="F21" s="34">
        <v>5</v>
      </c>
      <c r="G21" s="34">
        <v>5</v>
      </c>
      <c r="H21" s="34">
        <v>5</v>
      </c>
      <c r="I21" s="34">
        <v>5</v>
      </c>
      <c r="J21" s="34">
        <v>5</v>
      </c>
      <c r="K21" s="34">
        <v>5</v>
      </c>
      <c r="L21" s="34">
        <v>5</v>
      </c>
      <c r="M21" s="34">
        <v>5</v>
      </c>
    </row>
    <row r="22" spans="1:14" ht="63" x14ac:dyDescent="0.25">
      <c r="A22" s="35" t="s">
        <v>555</v>
      </c>
      <c r="B22" s="517" t="s">
        <v>215</v>
      </c>
      <c r="C22" s="128" t="s">
        <v>200</v>
      </c>
      <c r="D22" s="128" t="s">
        <v>201</v>
      </c>
      <c r="E22" s="34">
        <v>5</v>
      </c>
      <c r="F22" s="34">
        <v>5</v>
      </c>
      <c r="G22" s="34">
        <v>5</v>
      </c>
      <c r="H22" s="34">
        <v>5</v>
      </c>
      <c r="I22" s="34">
        <v>5</v>
      </c>
      <c r="J22" s="34">
        <v>5</v>
      </c>
      <c r="K22" s="34">
        <v>5</v>
      </c>
      <c r="L22" s="34">
        <v>5</v>
      </c>
      <c r="M22" s="34">
        <v>5</v>
      </c>
    </row>
    <row r="23" spans="1:14" ht="63" x14ac:dyDescent="0.25">
      <c r="A23" s="35" t="s">
        <v>216</v>
      </c>
      <c r="B23" s="517" t="s">
        <v>217</v>
      </c>
      <c r="C23" s="128" t="s">
        <v>200</v>
      </c>
      <c r="D23" s="128" t="s">
        <v>201</v>
      </c>
      <c r="E23" s="34">
        <v>5</v>
      </c>
      <c r="F23" s="34">
        <v>5</v>
      </c>
      <c r="G23" s="34">
        <v>5</v>
      </c>
      <c r="H23" s="34">
        <v>5</v>
      </c>
      <c r="I23" s="34">
        <v>5</v>
      </c>
      <c r="J23" s="34">
        <v>5</v>
      </c>
      <c r="K23" s="34">
        <v>5</v>
      </c>
      <c r="L23" s="34">
        <v>5</v>
      </c>
      <c r="M23" s="34">
        <v>5</v>
      </c>
    </row>
    <row r="24" spans="1:14" ht="63" x14ac:dyDescent="0.25">
      <c r="A24" s="35" t="s">
        <v>218</v>
      </c>
      <c r="B24" s="517" t="s">
        <v>219</v>
      </c>
      <c r="C24" s="128" t="s">
        <v>200</v>
      </c>
      <c r="D24" s="128" t="s">
        <v>201</v>
      </c>
      <c r="E24" s="34">
        <v>5</v>
      </c>
      <c r="F24" s="34">
        <v>5</v>
      </c>
      <c r="G24" s="34">
        <v>5</v>
      </c>
      <c r="H24" s="34">
        <v>5</v>
      </c>
      <c r="I24" s="34">
        <v>5</v>
      </c>
      <c r="J24" s="34">
        <v>5</v>
      </c>
      <c r="K24" s="34">
        <v>5</v>
      </c>
      <c r="L24" s="34">
        <v>5</v>
      </c>
      <c r="M24" s="34">
        <v>5</v>
      </c>
    </row>
    <row r="25" spans="1:14" ht="63" x14ac:dyDescent="0.25">
      <c r="A25" s="35" t="s">
        <v>220</v>
      </c>
      <c r="B25" s="517" t="s">
        <v>221</v>
      </c>
      <c r="C25" s="128" t="s">
        <v>200</v>
      </c>
      <c r="D25" s="128" t="s">
        <v>201</v>
      </c>
      <c r="E25" s="34">
        <v>5</v>
      </c>
      <c r="F25" s="34">
        <v>5</v>
      </c>
      <c r="G25" s="34">
        <v>5</v>
      </c>
      <c r="H25" s="34">
        <v>5</v>
      </c>
      <c r="I25" s="34">
        <v>5</v>
      </c>
      <c r="J25" s="34">
        <v>5</v>
      </c>
      <c r="K25" s="34">
        <v>5</v>
      </c>
      <c r="L25" s="34">
        <v>5</v>
      </c>
      <c r="M25" s="34">
        <v>5</v>
      </c>
    </row>
    <row r="26" spans="1:14" ht="32.25" customHeight="1" x14ac:dyDescent="0.25">
      <c r="A26" s="247" t="s">
        <v>556</v>
      </c>
      <c r="B26" s="247"/>
      <c r="C26" s="247"/>
      <c r="D26" s="247"/>
      <c r="E26" s="247"/>
      <c r="F26" s="247"/>
      <c r="G26" s="247"/>
      <c r="H26" s="247"/>
      <c r="I26" s="247"/>
      <c r="J26" s="247"/>
      <c r="K26" s="247"/>
      <c r="L26" s="518"/>
      <c r="M26" s="519"/>
      <c r="N26" s="519"/>
    </row>
    <row r="27" spans="1:14" ht="47.25" x14ac:dyDescent="0.25">
      <c r="A27" s="520" t="s">
        <v>223</v>
      </c>
      <c r="B27" s="130" t="s">
        <v>557</v>
      </c>
      <c r="C27" s="128" t="s">
        <v>97</v>
      </c>
      <c r="D27" s="128" t="s">
        <v>102</v>
      </c>
      <c r="E27" s="12">
        <v>70</v>
      </c>
      <c r="F27" s="12">
        <v>71</v>
      </c>
      <c r="G27" s="128">
        <v>71</v>
      </c>
      <c r="H27" s="128">
        <v>71</v>
      </c>
      <c r="I27" s="128">
        <v>71</v>
      </c>
      <c r="J27" s="128">
        <v>71</v>
      </c>
      <c r="K27" s="128">
        <v>71</v>
      </c>
      <c r="L27" s="128">
        <v>71</v>
      </c>
      <c r="M27" s="128">
        <v>71</v>
      </c>
    </row>
    <row r="28" spans="1:14" ht="94.5" x14ac:dyDescent="0.25">
      <c r="A28" s="128" t="s">
        <v>225</v>
      </c>
      <c r="B28" s="130" t="s">
        <v>226</v>
      </c>
      <c r="C28" s="128" t="s">
        <v>558</v>
      </c>
      <c r="D28" s="128" t="s">
        <v>102</v>
      </c>
      <c r="E28" s="128" t="s">
        <v>228</v>
      </c>
      <c r="F28" s="128" t="s">
        <v>229</v>
      </c>
      <c r="G28" s="128" t="s">
        <v>230</v>
      </c>
      <c r="H28" s="128" t="s">
        <v>231</v>
      </c>
      <c r="I28" s="128" t="s">
        <v>232</v>
      </c>
      <c r="J28" s="128" t="s">
        <v>233</v>
      </c>
      <c r="K28" s="128" t="s">
        <v>234</v>
      </c>
      <c r="L28" s="128" t="s">
        <v>234</v>
      </c>
      <c r="M28" s="128" t="s">
        <v>234</v>
      </c>
    </row>
    <row r="29" spans="1:14" ht="45" customHeight="1" x14ac:dyDescent="0.3">
      <c r="A29" s="53"/>
      <c r="B29" s="329" t="s">
        <v>33</v>
      </c>
      <c r="C29" s="329"/>
      <c r="D29" s="329"/>
      <c r="E29" s="329"/>
      <c r="F29" s="329"/>
      <c r="G29" s="521" t="s">
        <v>256</v>
      </c>
      <c r="H29" s="521"/>
      <c r="I29" s="318"/>
      <c r="J29" s="318"/>
    </row>
    <row r="30" spans="1:14" ht="68.25" customHeight="1" x14ac:dyDescent="0.25">
      <c r="A30" s="53"/>
    </row>
    <row r="31" spans="1:14" ht="129.75" customHeight="1" x14ac:dyDescent="0.25">
      <c r="A31" s="53"/>
    </row>
    <row r="32" spans="1:14" ht="98.25" customHeight="1" x14ac:dyDescent="0.25">
      <c r="A32" s="53"/>
    </row>
    <row r="33" spans="1:1" ht="70.5" customHeight="1" x14ac:dyDescent="0.25">
      <c r="A33" s="53"/>
    </row>
    <row r="34" spans="1:1" ht="66.75" customHeight="1" x14ac:dyDescent="0.25">
      <c r="A34" s="53"/>
    </row>
    <row r="35" spans="1:1" ht="53.25" customHeight="1" x14ac:dyDescent="0.25">
      <c r="A35" s="53"/>
    </row>
    <row r="36" spans="1:1" x14ac:dyDescent="0.25">
      <c r="A36" s="53"/>
    </row>
    <row r="37" spans="1:1" x14ac:dyDescent="0.25">
      <c r="A37" s="53"/>
    </row>
  </sheetData>
  <mergeCells count="19">
    <mergeCell ref="A7:K7"/>
    <mergeCell ref="A26:K26"/>
    <mergeCell ref="G29:H29"/>
    <mergeCell ref="I3:I5"/>
    <mergeCell ref="J3:J5"/>
    <mergeCell ref="K3:K5"/>
    <mergeCell ref="L3:L5"/>
    <mergeCell ref="M3:M5"/>
    <mergeCell ref="A6:K6"/>
    <mergeCell ref="E1:K1"/>
    <mergeCell ref="A2:K2"/>
    <mergeCell ref="A3:A5"/>
    <mergeCell ref="B3:B5"/>
    <mergeCell ref="C3:C5"/>
    <mergeCell ref="D3:D5"/>
    <mergeCell ref="E3:E5"/>
    <mergeCell ref="F3:F5"/>
    <mergeCell ref="G3:G5"/>
    <mergeCell ref="H3:H5"/>
  </mergeCells>
  <pageMargins left="0.31496062992125984" right="0.11811023622047245" top="0.55118110236220474" bottom="0.35433070866141736" header="0.31496062992125984" footer="0.31496062992125984"/>
  <pageSetup paperSize="9" scale="66" fitToHeight="2" orientation="landscape" r:id="rId1"/>
  <headerFooter differentFirst="1">
    <oddHeader>&amp;C&amp;P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R95"/>
  <sheetViews>
    <sheetView tabSelected="1" view="pageBreakPreview" zoomScale="75" zoomScaleNormal="75" zoomScaleSheetLayoutView="75" workbookViewId="0">
      <selection activeCell="M61" sqref="M61"/>
    </sheetView>
  </sheetViews>
  <sheetFormatPr defaultColWidth="9.28515625" defaultRowHeight="15.75" x14ac:dyDescent="0.25"/>
  <cols>
    <col min="1" max="1" width="8.42578125" style="317" customWidth="1"/>
    <col min="2" max="2" width="42.28515625" style="53" customWidth="1"/>
    <col min="3" max="3" width="21.5703125" style="318" customWidth="1"/>
    <col min="4" max="4" width="13" style="318" customWidth="1"/>
    <col min="5" max="5" width="13.7109375" style="318" customWidth="1"/>
    <col min="6" max="6" width="17.28515625" style="318" customWidth="1"/>
    <col min="7" max="7" width="13" style="318" customWidth="1"/>
    <col min="8" max="8" width="14.7109375" style="318" customWidth="1"/>
    <col min="9" max="10" width="14.7109375" style="53" customWidth="1"/>
    <col min="11" max="11" width="14.7109375" style="152" customWidth="1"/>
    <col min="12" max="12" width="14.7109375" style="53" customWidth="1"/>
    <col min="13" max="13" width="21.7109375" style="53" customWidth="1"/>
    <col min="14" max="16" width="14.7109375" style="81" customWidth="1"/>
    <col min="17" max="17" width="14.7109375" style="53" customWidth="1"/>
    <col min="18" max="18" width="74.140625" style="53" customWidth="1"/>
    <col min="19" max="16384" width="9.28515625" style="53"/>
  </cols>
  <sheetData>
    <row r="1" spans="1:18" s="202" customFormat="1" ht="71.25" customHeight="1" x14ac:dyDescent="0.25">
      <c r="A1" s="240"/>
      <c r="B1" s="241"/>
      <c r="C1" s="242"/>
      <c r="D1" s="242"/>
      <c r="E1" s="242"/>
      <c r="F1" s="242"/>
      <c r="G1" s="242"/>
      <c r="H1" s="242"/>
      <c r="I1" s="243"/>
      <c r="J1" s="243"/>
      <c r="K1" s="341"/>
      <c r="N1" s="177"/>
      <c r="O1" s="522"/>
      <c r="P1" s="177"/>
      <c r="Q1" s="523" t="s">
        <v>559</v>
      </c>
      <c r="R1" s="523"/>
    </row>
    <row r="2" spans="1:18" s="202" customFormat="1" ht="36" customHeight="1" x14ac:dyDescent="0.25">
      <c r="A2" s="246" t="s">
        <v>258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</row>
    <row r="3" spans="1:18" s="202" customFormat="1" ht="32.25" customHeight="1" x14ac:dyDescent="0.25">
      <c r="A3" s="50" t="s">
        <v>89</v>
      </c>
      <c r="B3" s="50" t="s">
        <v>259</v>
      </c>
      <c r="C3" s="50" t="s">
        <v>7</v>
      </c>
      <c r="D3" s="50" t="s">
        <v>5</v>
      </c>
      <c r="E3" s="50"/>
      <c r="F3" s="50"/>
      <c r="G3" s="50"/>
      <c r="H3" s="452" t="s">
        <v>6</v>
      </c>
      <c r="I3" s="453"/>
      <c r="J3" s="453"/>
      <c r="K3" s="453"/>
      <c r="L3" s="453"/>
      <c r="M3" s="453"/>
      <c r="N3" s="453"/>
      <c r="O3" s="453"/>
      <c r="P3" s="453"/>
      <c r="Q3" s="454"/>
      <c r="R3" s="50" t="s">
        <v>560</v>
      </c>
    </row>
    <row r="4" spans="1:18" s="202" customFormat="1" ht="37.5" customHeight="1" x14ac:dyDescent="0.25">
      <c r="A4" s="50"/>
      <c r="B4" s="50"/>
      <c r="C4" s="50"/>
      <c r="D4" s="12" t="s">
        <v>7</v>
      </c>
      <c r="E4" s="12" t="s">
        <v>8</v>
      </c>
      <c r="F4" s="12" t="s">
        <v>9</v>
      </c>
      <c r="G4" s="12" t="s">
        <v>10</v>
      </c>
      <c r="H4" s="12">
        <v>2014</v>
      </c>
      <c r="I4" s="12">
        <v>2015</v>
      </c>
      <c r="J4" s="12">
        <v>2016</v>
      </c>
      <c r="K4" s="12">
        <v>2017</v>
      </c>
      <c r="L4" s="12">
        <v>2018</v>
      </c>
      <c r="M4" s="12">
        <v>2019</v>
      </c>
      <c r="N4" s="88">
        <v>2020</v>
      </c>
      <c r="O4" s="88">
        <v>2021</v>
      </c>
      <c r="P4" s="88">
        <v>2022</v>
      </c>
      <c r="Q4" s="12" t="s">
        <v>11</v>
      </c>
      <c r="R4" s="50"/>
    </row>
    <row r="5" spans="1:18" ht="27" customHeight="1" x14ac:dyDescent="0.25">
      <c r="A5" s="33" t="s">
        <v>548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</row>
    <row r="6" spans="1:18" ht="27" customHeight="1" x14ac:dyDescent="0.25">
      <c r="A6" s="524" t="s">
        <v>561</v>
      </c>
      <c r="B6" s="525"/>
      <c r="C6" s="525"/>
      <c r="D6" s="525"/>
      <c r="E6" s="525"/>
      <c r="F6" s="525"/>
      <c r="G6" s="525"/>
      <c r="H6" s="525"/>
      <c r="I6" s="525"/>
      <c r="J6" s="525"/>
      <c r="K6" s="525"/>
      <c r="L6" s="525"/>
      <c r="M6" s="525"/>
      <c r="N6" s="525"/>
      <c r="O6" s="525"/>
      <c r="P6" s="525"/>
      <c r="Q6" s="525"/>
      <c r="R6" s="526"/>
    </row>
    <row r="7" spans="1:18" ht="45" customHeight="1" x14ac:dyDescent="0.25">
      <c r="A7" s="248" t="s">
        <v>181</v>
      </c>
      <c r="B7" s="40" t="s">
        <v>562</v>
      </c>
      <c r="C7" s="40" t="s">
        <v>262</v>
      </c>
      <c r="D7" s="250" t="s">
        <v>18</v>
      </c>
      <c r="E7" s="250" t="s">
        <v>434</v>
      </c>
      <c r="F7" s="250" t="s">
        <v>563</v>
      </c>
      <c r="G7" s="34">
        <v>120</v>
      </c>
      <c r="H7" s="527">
        <v>1257.5999999999999</v>
      </c>
      <c r="I7" s="527">
        <v>1420.8</v>
      </c>
      <c r="J7" s="527">
        <v>1452.9</v>
      </c>
      <c r="K7" s="527">
        <v>1366.4</v>
      </c>
      <c r="L7" s="527">
        <v>1552.5</v>
      </c>
      <c r="M7" s="527">
        <v>1792.7</v>
      </c>
      <c r="N7" s="528">
        <v>1794.9</v>
      </c>
      <c r="O7" s="528">
        <v>1794.9</v>
      </c>
      <c r="P7" s="528">
        <v>1794.9</v>
      </c>
      <c r="Q7" s="527">
        <f>SUM(H7:P7)</f>
        <v>14227.599999999999</v>
      </c>
      <c r="R7" s="41" t="s">
        <v>564</v>
      </c>
    </row>
    <row r="8" spans="1:18" ht="45" customHeight="1" x14ac:dyDescent="0.25">
      <c r="A8" s="253"/>
      <c r="B8" s="42"/>
      <c r="C8" s="42"/>
      <c r="D8" s="34">
        <v>975</v>
      </c>
      <c r="E8" s="250" t="s">
        <v>434</v>
      </c>
      <c r="F8" s="250" t="s">
        <v>563</v>
      </c>
      <c r="G8" s="34" t="s">
        <v>565</v>
      </c>
      <c r="H8" s="527">
        <v>318.60000000000002</v>
      </c>
      <c r="I8" s="527">
        <v>600.70000000000005</v>
      </c>
      <c r="J8" s="527">
        <v>513.5</v>
      </c>
      <c r="K8" s="527">
        <f>411.1+0.5</f>
        <v>411.6</v>
      </c>
      <c r="L8" s="527">
        <v>298.89999999999998</v>
      </c>
      <c r="M8" s="527">
        <v>317.5</v>
      </c>
      <c r="N8" s="528">
        <f>276.7+0.9+3</f>
        <v>280.59999999999997</v>
      </c>
      <c r="O8" s="528">
        <v>176.4</v>
      </c>
      <c r="P8" s="528">
        <v>176.4</v>
      </c>
      <c r="Q8" s="527">
        <f t="shared" ref="Q8:Q45" si="0">SUM(H8:P8)</f>
        <v>3094.2000000000003</v>
      </c>
      <c r="R8" s="43"/>
    </row>
    <row r="9" spans="1:18" ht="24.95" customHeight="1" x14ac:dyDescent="0.25">
      <c r="A9" s="253"/>
      <c r="B9" s="42"/>
      <c r="C9" s="42"/>
      <c r="D9" s="475" t="s">
        <v>18</v>
      </c>
      <c r="E9" s="250" t="s">
        <v>434</v>
      </c>
      <c r="F9" s="250" t="s">
        <v>566</v>
      </c>
      <c r="G9" s="34">
        <v>120</v>
      </c>
      <c r="H9" s="527">
        <v>330.4</v>
      </c>
      <c r="I9" s="527">
        <v>342.6</v>
      </c>
      <c r="J9" s="527">
        <v>342.6</v>
      </c>
      <c r="K9" s="527">
        <v>335.6</v>
      </c>
      <c r="L9" s="527">
        <v>343.5</v>
      </c>
      <c r="M9" s="527">
        <v>360.3</v>
      </c>
      <c r="N9" s="528">
        <v>339.4</v>
      </c>
      <c r="O9" s="528">
        <v>339.4</v>
      </c>
      <c r="P9" s="528">
        <v>339.4</v>
      </c>
      <c r="Q9" s="527">
        <f t="shared" si="0"/>
        <v>3073.2000000000003</v>
      </c>
      <c r="R9" s="529"/>
    </row>
    <row r="10" spans="1:18" ht="24.95" customHeight="1" x14ac:dyDescent="0.25">
      <c r="A10" s="253"/>
      <c r="B10" s="42"/>
      <c r="C10" s="42"/>
      <c r="D10" s="475" t="s">
        <v>18</v>
      </c>
      <c r="E10" s="250" t="s">
        <v>434</v>
      </c>
      <c r="F10" s="250" t="s">
        <v>567</v>
      </c>
      <c r="G10" s="34">
        <v>120</v>
      </c>
      <c r="H10" s="527"/>
      <c r="I10" s="527"/>
      <c r="J10" s="527"/>
      <c r="K10" s="527"/>
      <c r="L10" s="527"/>
      <c r="M10" s="527"/>
      <c r="N10" s="528">
        <v>21.7</v>
      </c>
      <c r="O10" s="528"/>
      <c r="P10" s="528"/>
      <c r="Q10" s="527"/>
      <c r="R10" s="529"/>
    </row>
    <row r="11" spans="1:18" ht="24.95" customHeight="1" x14ac:dyDescent="0.25">
      <c r="A11" s="253"/>
      <c r="B11" s="42"/>
      <c r="C11" s="42"/>
      <c r="D11" s="475" t="s">
        <v>18</v>
      </c>
      <c r="E11" s="250" t="s">
        <v>434</v>
      </c>
      <c r="F11" s="250" t="s">
        <v>568</v>
      </c>
      <c r="G11" s="34">
        <v>120</v>
      </c>
      <c r="H11" s="527"/>
      <c r="I11" s="527"/>
      <c r="J11" s="527"/>
      <c r="K11" s="527"/>
      <c r="L11" s="527"/>
      <c r="M11" s="527"/>
      <c r="N11" s="528">
        <v>228.4</v>
      </c>
      <c r="O11" s="528"/>
      <c r="P11" s="528"/>
      <c r="Q11" s="527"/>
      <c r="R11" s="529"/>
    </row>
    <row r="12" spans="1:18" ht="24.95" customHeight="1" x14ac:dyDescent="0.25">
      <c r="A12" s="253"/>
      <c r="B12" s="42"/>
      <c r="C12" s="42"/>
      <c r="D12" s="475" t="s">
        <v>18</v>
      </c>
      <c r="E12" s="250" t="s">
        <v>434</v>
      </c>
      <c r="F12" s="250" t="s">
        <v>569</v>
      </c>
      <c r="G12" s="34">
        <v>120</v>
      </c>
      <c r="H12" s="527"/>
      <c r="I12" s="527"/>
      <c r="J12" s="527"/>
      <c r="K12" s="527"/>
      <c r="L12" s="527"/>
      <c r="M12" s="527">
        <v>36.4</v>
      </c>
      <c r="N12" s="528"/>
      <c r="O12" s="528"/>
      <c r="P12" s="528">
        <f t="shared" ref="P12:P45" si="1">O12</f>
        <v>0</v>
      </c>
      <c r="Q12" s="527">
        <f t="shared" si="0"/>
        <v>36.4</v>
      </c>
      <c r="R12" s="529"/>
    </row>
    <row r="13" spans="1:18" ht="24.95" customHeight="1" x14ac:dyDescent="0.25">
      <c r="A13" s="253"/>
      <c r="B13" s="42"/>
      <c r="C13" s="42"/>
      <c r="D13" s="475" t="s">
        <v>18</v>
      </c>
      <c r="E13" s="250" t="s">
        <v>434</v>
      </c>
      <c r="F13" s="250" t="s">
        <v>570</v>
      </c>
      <c r="G13" s="34">
        <v>120</v>
      </c>
      <c r="H13" s="527"/>
      <c r="I13" s="527"/>
      <c r="J13" s="527"/>
      <c r="K13" s="527"/>
      <c r="L13" s="527">
        <v>96.2</v>
      </c>
      <c r="M13" s="527"/>
      <c r="N13" s="528"/>
      <c r="O13" s="528"/>
      <c r="P13" s="528">
        <f t="shared" si="1"/>
        <v>0</v>
      </c>
      <c r="Q13" s="527">
        <f t="shared" si="0"/>
        <v>96.2</v>
      </c>
      <c r="R13" s="529"/>
    </row>
    <row r="14" spans="1:18" ht="41.45" customHeight="1" x14ac:dyDescent="0.25">
      <c r="A14" s="253"/>
      <c r="B14" s="42"/>
      <c r="C14" s="42"/>
      <c r="D14" s="34">
        <v>975</v>
      </c>
      <c r="E14" s="250" t="s">
        <v>434</v>
      </c>
      <c r="F14" s="250" t="s">
        <v>571</v>
      </c>
      <c r="G14" s="34">
        <v>120</v>
      </c>
      <c r="H14" s="527"/>
      <c r="I14" s="527"/>
      <c r="J14" s="527"/>
      <c r="K14" s="527"/>
      <c r="L14" s="527">
        <v>12.8</v>
      </c>
      <c r="M14" s="527">
        <v>3.8</v>
      </c>
      <c r="N14" s="528"/>
      <c r="O14" s="528"/>
      <c r="P14" s="528">
        <f t="shared" si="1"/>
        <v>0</v>
      </c>
      <c r="Q14" s="527">
        <f t="shared" si="0"/>
        <v>16.600000000000001</v>
      </c>
      <c r="R14" s="529"/>
    </row>
    <row r="15" spans="1:18" ht="46.9" customHeight="1" x14ac:dyDescent="0.25">
      <c r="A15" s="257"/>
      <c r="B15" s="75"/>
      <c r="C15" s="75"/>
      <c r="D15" s="34">
        <v>975</v>
      </c>
      <c r="E15" s="250" t="s">
        <v>434</v>
      </c>
      <c r="F15" s="250" t="s">
        <v>572</v>
      </c>
      <c r="G15" s="34">
        <v>120</v>
      </c>
      <c r="H15" s="527"/>
      <c r="I15" s="527"/>
      <c r="J15" s="527"/>
      <c r="K15" s="527"/>
      <c r="L15" s="527">
        <v>55.9</v>
      </c>
      <c r="M15" s="527">
        <v>18.100000000000001</v>
      </c>
      <c r="N15" s="528"/>
      <c r="O15" s="528"/>
      <c r="P15" s="528">
        <f t="shared" si="1"/>
        <v>0</v>
      </c>
      <c r="Q15" s="527">
        <f t="shared" si="0"/>
        <v>74</v>
      </c>
      <c r="R15" s="529"/>
    </row>
    <row r="16" spans="1:18" ht="45" customHeight="1" x14ac:dyDescent="0.25">
      <c r="A16" s="469" t="s">
        <v>573</v>
      </c>
      <c r="B16" s="474" t="s">
        <v>574</v>
      </c>
      <c r="C16" s="30" t="s">
        <v>575</v>
      </c>
      <c r="D16" s="250" t="s">
        <v>18</v>
      </c>
      <c r="E16" s="250" t="s">
        <v>434</v>
      </c>
      <c r="F16" s="250" t="s">
        <v>576</v>
      </c>
      <c r="G16" s="34">
        <v>110</v>
      </c>
      <c r="H16" s="527">
        <v>623.6</v>
      </c>
      <c r="I16" s="527">
        <v>623.6</v>
      </c>
      <c r="J16" s="527">
        <v>623.6</v>
      </c>
      <c r="K16" s="527">
        <v>610</v>
      </c>
      <c r="L16" s="527">
        <f>623.6</f>
        <v>623.6</v>
      </c>
      <c r="M16" s="527">
        <v>623.6</v>
      </c>
      <c r="N16" s="528">
        <v>623.6</v>
      </c>
      <c r="O16" s="528">
        <v>623.6</v>
      </c>
      <c r="P16" s="528">
        <f t="shared" si="1"/>
        <v>623.6</v>
      </c>
      <c r="Q16" s="527">
        <f t="shared" si="0"/>
        <v>5598.8000000000011</v>
      </c>
      <c r="R16" s="292" t="s">
        <v>577</v>
      </c>
    </row>
    <row r="17" spans="1:18" ht="24.95" customHeight="1" x14ac:dyDescent="0.25">
      <c r="A17" s="294" t="s">
        <v>578</v>
      </c>
      <c r="B17" s="50" t="s">
        <v>579</v>
      </c>
      <c r="C17" s="50" t="s">
        <v>580</v>
      </c>
      <c r="D17" s="250" t="s">
        <v>22</v>
      </c>
      <c r="E17" s="250" t="s">
        <v>434</v>
      </c>
      <c r="F17" s="250" t="s">
        <v>581</v>
      </c>
      <c r="G17" s="34">
        <v>110</v>
      </c>
      <c r="H17" s="530"/>
      <c r="I17" s="530"/>
      <c r="J17" s="530"/>
      <c r="K17" s="530"/>
      <c r="L17" s="530">
        <v>564.29999999999995</v>
      </c>
      <c r="M17" s="530"/>
      <c r="N17" s="531"/>
      <c r="O17" s="531"/>
      <c r="P17" s="528">
        <f t="shared" si="1"/>
        <v>0</v>
      </c>
      <c r="Q17" s="527">
        <f t="shared" si="0"/>
        <v>564.29999999999995</v>
      </c>
      <c r="R17" s="33" t="s">
        <v>582</v>
      </c>
    </row>
    <row r="18" spans="1:18" ht="24.95" customHeight="1" x14ac:dyDescent="0.25">
      <c r="A18" s="294"/>
      <c r="B18" s="50"/>
      <c r="C18" s="50"/>
      <c r="D18" s="250" t="s">
        <v>22</v>
      </c>
      <c r="E18" s="250" t="s">
        <v>434</v>
      </c>
      <c r="F18" s="250" t="s">
        <v>576</v>
      </c>
      <c r="G18" s="34">
        <v>110</v>
      </c>
      <c r="H18" s="530">
        <v>13131.6</v>
      </c>
      <c r="I18" s="530">
        <v>13815.5</v>
      </c>
      <c r="J18" s="530">
        <v>14161.8</v>
      </c>
      <c r="K18" s="530">
        <v>14410.6</v>
      </c>
      <c r="L18" s="530">
        <f>11061.4+19+3328.3</f>
        <v>14408.7</v>
      </c>
      <c r="M18" s="530">
        <v>15224.3</v>
      </c>
      <c r="N18" s="531">
        <v>14940.6</v>
      </c>
      <c r="O18" s="531">
        <v>14940.6</v>
      </c>
      <c r="P18" s="528">
        <f t="shared" si="1"/>
        <v>14940.6</v>
      </c>
      <c r="Q18" s="527">
        <f t="shared" si="0"/>
        <v>129974.30000000002</v>
      </c>
      <c r="R18" s="33"/>
    </row>
    <row r="19" spans="1:18" ht="24.95" customHeight="1" x14ac:dyDescent="0.25">
      <c r="A19" s="294"/>
      <c r="B19" s="50"/>
      <c r="C19" s="50"/>
      <c r="D19" s="250" t="s">
        <v>22</v>
      </c>
      <c r="E19" s="250" t="s">
        <v>434</v>
      </c>
      <c r="F19" s="250" t="s">
        <v>583</v>
      </c>
      <c r="G19" s="34">
        <v>110</v>
      </c>
      <c r="H19" s="530"/>
      <c r="I19" s="530">
        <v>9.6999999999999993</v>
      </c>
      <c r="J19" s="530">
        <v>10.9</v>
      </c>
      <c r="K19" s="530">
        <v>12.4</v>
      </c>
      <c r="L19" s="530">
        <v>52.5</v>
      </c>
      <c r="M19" s="530">
        <v>130.5</v>
      </c>
      <c r="N19" s="531">
        <v>125.1</v>
      </c>
      <c r="O19" s="531">
        <v>125.1</v>
      </c>
      <c r="P19" s="531">
        <v>125.1</v>
      </c>
      <c r="Q19" s="527">
        <f t="shared" si="0"/>
        <v>591.30000000000007</v>
      </c>
      <c r="R19" s="33"/>
    </row>
    <row r="20" spans="1:18" ht="39.6" customHeight="1" x14ac:dyDescent="0.25">
      <c r="A20" s="294"/>
      <c r="B20" s="50"/>
      <c r="C20" s="50"/>
      <c r="D20" s="250" t="s">
        <v>22</v>
      </c>
      <c r="E20" s="250" t="s">
        <v>434</v>
      </c>
      <c r="F20" s="250" t="s">
        <v>584</v>
      </c>
      <c r="G20" s="34">
        <v>110</v>
      </c>
      <c r="H20" s="530"/>
      <c r="I20" s="530"/>
      <c r="J20" s="530"/>
      <c r="K20" s="530"/>
      <c r="L20" s="530"/>
      <c r="M20" s="530">
        <v>8.9</v>
      </c>
      <c r="N20" s="531">
        <v>83.6</v>
      </c>
      <c r="O20" s="531">
        <v>0</v>
      </c>
      <c r="P20" s="528">
        <v>0</v>
      </c>
      <c r="Q20" s="527">
        <f t="shared" si="0"/>
        <v>92.5</v>
      </c>
      <c r="R20" s="33"/>
    </row>
    <row r="21" spans="1:18" ht="39.6" customHeight="1" x14ac:dyDescent="0.25">
      <c r="A21" s="294"/>
      <c r="B21" s="50"/>
      <c r="C21" s="50"/>
      <c r="D21" s="250" t="s">
        <v>22</v>
      </c>
      <c r="E21" s="250" t="s">
        <v>434</v>
      </c>
      <c r="F21" s="250" t="s">
        <v>585</v>
      </c>
      <c r="G21" s="34">
        <v>110</v>
      </c>
      <c r="H21" s="530"/>
      <c r="I21" s="530"/>
      <c r="J21" s="530"/>
      <c r="K21" s="530"/>
      <c r="L21" s="530"/>
      <c r="M21" s="530"/>
      <c r="N21" s="531">
        <v>874.3</v>
      </c>
      <c r="O21" s="531"/>
      <c r="P21" s="528"/>
      <c r="Q21" s="527"/>
      <c r="R21" s="33"/>
    </row>
    <row r="22" spans="1:18" ht="24.95" customHeight="1" x14ac:dyDescent="0.25">
      <c r="A22" s="294"/>
      <c r="B22" s="50"/>
      <c r="C22" s="50"/>
      <c r="D22" s="250" t="s">
        <v>22</v>
      </c>
      <c r="E22" s="250" t="s">
        <v>434</v>
      </c>
      <c r="F22" s="250" t="s">
        <v>586</v>
      </c>
      <c r="G22" s="34">
        <v>110</v>
      </c>
      <c r="H22" s="530"/>
      <c r="I22" s="530"/>
      <c r="J22" s="530"/>
      <c r="K22" s="530"/>
      <c r="L22" s="530"/>
      <c r="M22" s="530">
        <v>137.6</v>
      </c>
      <c r="N22" s="531"/>
      <c r="O22" s="531"/>
      <c r="P22" s="528"/>
      <c r="Q22" s="527">
        <f t="shared" si="0"/>
        <v>137.6</v>
      </c>
      <c r="R22" s="33"/>
    </row>
    <row r="23" spans="1:18" ht="24.95" customHeight="1" x14ac:dyDescent="0.25">
      <c r="A23" s="294"/>
      <c r="B23" s="50"/>
      <c r="C23" s="50"/>
      <c r="D23" s="250" t="s">
        <v>22</v>
      </c>
      <c r="E23" s="250" t="s">
        <v>434</v>
      </c>
      <c r="F23" s="250" t="s">
        <v>576</v>
      </c>
      <c r="G23" s="34">
        <v>850</v>
      </c>
      <c r="H23" s="530">
        <v>0</v>
      </c>
      <c r="I23" s="530">
        <v>0</v>
      </c>
      <c r="J23" s="530">
        <v>0</v>
      </c>
      <c r="K23" s="530">
        <v>21.8</v>
      </c>
      <c r="L23" s="530">
        <v>0.01</v>
      </c>
      <c r="M23" s="530"/>
      <c r="N23" s="531"/>
      <c r="O23" s="531"/>
      <c r="P23" s="528">
        <f t="shared" si="1"/>
        <v>0</v>
      </c>
      <c r="Q23" s="527">
        <f t="shared" si="0"/>
        <v>21.810000000000002</v>
      </c>
      <c r="R23" s="33"/>
    </row>
    <row r="24" spans="1:18" ht="24.95" customHeight="1" x14ac:dyDescent="0.25">
      <c r="A24" s="294"/>
      <c r="B24" s="50"/>
      <c r="C24" s="50"/>
      <c r="D24" s="250" t="s">
        <v>22</v>
      </c>
      <c r="E24" s="250" t="s">
        <v>434</v>
      </c>
      <c r="F24" s="250" t="s">
        <v>576</v>
      </c>
      <c r="G24" s="34">
        <v>240</v>
      </c>
      <c r="H24" s="530">
        <v>1021.5</v>
      </c>
      <c r="I24" s="530">
        <v>1111.2</v>
      </c>
      <c r="J24" s="530">
        <v>1144</v>
      </c>
      <c r="K24" s="530">
        <v>927.7</v>
      </c>
      <c r="L24" s="530">
        <v>969.6</v>
      </c>
      <c r="M24" s="530">
        <v>1242.5</v>
      </c>
      <c r="N24" s="531">
        <f>995.3+78.6</f>
        <v>1073.8999999999999</v>
      </c>
      <c r="O24" s="531">
        <v>995.3</v>
      </c>
      <c r="P24" s="531">
        <v>995.3</v>
      </c>
      <c r="Q24" s="527">
        <f t="shared" si="0"/>
        <v>9480.9999999999982</v>
      </c>
      <c r="R24" s="33"/>
    </row>
    <row r="25" spans="1:18" ht="24.95" customHeight="1" x14ac:dyDescent="0.25">
      <c r="A25" s="294" t="s">
        <v>587</v>
      </c>
      <c r="B25" s="33" t="s">
        <v>588</v>
      </c>
      <c r="C25" s="33" t="s">
        <v>589</v>
      </c>
      <c r="D25" s="250" t="s">
        <v>18</v>
      </c>
      <c r="E25" s="250" t="s">
        <v>434</v>
      </c>
      <c r="F25" s="250" t="s">
        <v>576</v>
      </c>
      <c r="G25" s="34">
        <v>110</v>
      </c>
      <c r="H25" s="530">
        <f>2965-H16</f>
        <v>2341.4</v>
      </c>
      <c r="I25" s="530">
        <f>3154-I16</f>
        <v>2530.4</v>
      </c>
      <c r="J25" s="530">
        <f>3155.8-J16</f>
        <v>2532.2000000000003</v>
      </c>
      <c r="K25" s="530">
        <f>4414.9-K16</f>
        <v>3804.8999999999996</v>
      </c>
      <c r="L25" s="530">
        <f>4501.5-L16</f>
        <v>3877.9</v>
      </c>
      <c r="M25" s="530">
        <f>4633.1-M16</f>
        <v>4009.5000000000005</v>
      </c>
      <c r="N25" s="531">
        <f>4946.7-N16</f>
        <v>4323.0999999999995</v>
      </c>
      <c r="O25" s="531">
        <f>4946.7-O16</f>
        <v>4323.0999999999995</v>
      </c>
      <c r="P25" s="531">
        <f>4946.7-P16</f>
        <v>4323.0999999999995</v>
      </c>
      <c r="Q25" s="527">
        <f t="shared" si="0"/>
        <v>32065.599999999995</v>
      </c>
      <c r="R25" s="33" t="s">
        <v>590</v>
      </c>
    </row>
    <row r="26" spans="1:18" ht="24.95" customHeight="1" x14ac:dyDescent="0.25">
      <c r="A26" s="294"/>
      <c r="B26" s="33"/>
      <c r="C26" s="33"/>
      <c r="D26" s="250" t="s">
        <v>18</v>
      </c>
      <c r="E26" s="250" t="s">
        <v>434</v>
      </c>
      <c r="F26" s="250" t="s">
        <v>576</v>
      </c>
      <c r="G26" s="34">
        <v>240</v>
      </c>
      <c r="H26" s="530">
        <v>452.8</v>
      </c>
      <c r="I26" s="530">
        <v>540.79999999999995</v>
      </c>
      <c r="J26" s="530">
        <v>696.6</v>
      </c>
      <c r="K26" s="530">
        <v>1035.5</v>
      </c>
      <c r="L26" s="530">
        <v>708.9</v>
      </c>
      <c r="M26" s="530">
        <f>374+50</f>
        <v>424</v>
      </c>
      <c r="N26" s="531">
        <v>333.1</v>
      </c>
      <c r="O26" s="531">
        <v>249.9</v>
      </c>
      <c r="P26" s="531">
        <v>249.9</v>
      </c>
      <c r="Q26" s="527">
        <f t="shared" si="0"/>
        <v>4691.4999999999991</v>
      </c>
      <c r="R26" s="33"/>
    </row>
    <row r="27" spans="1:18" ht="24.95" customHeight="1" x14ac:dyDescent="0.25">
      <c r="A27" s="294"/>
      <c r="B27" s="33"/>
      <c r="C27" s="33"/>
      <c r="D27" s="250" t="s">
        <v>18</v>
      </c>
      <c r="E27" s="250" t="s">
        <v>434</v>
      </c>
      <c r="F27" s="250" t="s">
        <v>583</v>
      </c>
      <c r="G27" s="34">
        <v>110</v>
      </c>
      <c r="H27" s="530">
        <v>17.100000000000001</v>
      </c>
      <c r="I27" s="530">
        <v>29.8</v>
      </c>
      <c r="J27" s="530">
        <v>46.6</v>
      </c>
      <c r="K27" s="530">
        <v>58.6</v>
      </c>
      <c r="L27" s="530">
        <v>84.9</v>
      </c>
      <c r="M27" s="530">
        <v>136</v>
      </c>
      <c r="N27" s="531">
        <v>115.1</v>
      </c>
      <c r="O27" s="531">
        <v>115.1</v>
      </c>
      <c r="P27" s="531">
        <v>115.1</v>
      </c>
      <c r="Q27" s="527">
        <f t="shared" si="0"/>
        <v>718.30000000000007</v>
      </c>
      <c r="R27" s="33"/>
    </row>
    <row r="28" spans="1:18" ht="24.95" customHeight="1" x14ac:dyDescent="0.25">
      <c r="A28" s="294"/>
      <c r="B28" s="33"/>
      <c r="C28" s="33"/>
      <c r="D28" s="250" t="s">
        <v>18</v>
      </c>
      <c r="E28" s="250" t="s">
        <v>434</v>
      </c>
      <c r="F28" s="250" t="s">
        <v>585</v>
      </c>
      <c r="G28" s="34">
        <v>110</v>
      </c>
      <c r="H28" s="530"/>
      <c r="I28" s="530"/>
      <c r="J28" s="530"/>
      <c r="K28" s="530"/>
      <c r="L28" s="530"/>
      <c r="M28" s="530"/>
      <c r="N28" s="531">
        <v>295.8</v>
      </c>
      <c r="O28" s="531"/>
      <c r="P28" s="528"/>
      <c r="Q28" s="527"/>
      <c r="R28" s="33"/>
    </row>
    <row r="29" spans="1:18" ht="24.95" customHeight="1" x14ac:dyDescent="0.25">
      <c r="A29" s="294"/>
      <c r="B29" s="33"/>
      <c r="C29" s="33"/>
      <c r="D29" s="250" t="s">
        <v>18</v>
      </c>
      <c r="E29" s="250" t="s">
        <v>434</v>
      </c>
      <c r="F29" s="250" t="s">
        <v>591</v>
      </c>
      <c r="G29" s="34">
        <v>110</v>
      </c>
      <c r="H29" s="530">
        <v>41.5</v>
      </c>
      <c r="I29" s="530">
        <v>4.4000000000000004</v>
      </c>
      <c r="J29" s="530"/>
      <c r="K29" s="530"/>
      <c r="L29" s="530"/>
      <c r="M29" s="530"/>
      <c r="N29" s="531"/>
      <c r="O29" s="531"/>
      <c r="P29" s="528">
        <f t="shared" si="1"/>
        <v>0</v>
      </c>
      <c r="Q29" s="527">
        <f t="shared" si="0"/>
        <v>45.9</v>
      </c>
      <c r="R29" s="33"/>
    </row>
    <row r="30" spans="1:18" ht="24.95" customHeight="1" x14ac:dyDescent="0.25">
      <c r="A30" s="294"/>
      <c r="B30" s="33"/>
      <c r="C30" s="33"/>
      <c r="D30" s="250" t="s">
        <v>18</v>
      </c>
      <c r="E30" s="250" t="s">
        <v>434</v>
      </c>
      <c r="F30" s="250" t="s">
        <v>586</v>
      </c>
      <c r="G30" s="34">
        <v>110</v>
      </c>
      <c r="H30" s="530">
        <v>0.6</v>
      </c>
      <c r="I30" s="530"/>
      <c r="J30" s="530"/>
      <c r="K30" s="530"/>
      <c r="L30" s="530"/>
      <c r="M30" s="530">
        <v>52.2</v>
      </c>
      <c r="N30" s="531"/>
      <c r="O30" s="531"/>
      <c r="P30" s="528">
        <f t="shared" si="1"/>
        <v>0</v>
      </c>
      <c r="Q30" s="527">
        <f t="shared" si="0"/>
        <v>52.800000000000004</v>
      </c>
      <c r="R30" s="33"/>
    </row>
    <row r="31" spans="1:18" ht="37.9" customHeight="1" x14ac:dyDescent="0.25">
      <c r="A31" s="294"/>
      <c r="B31" s="33"/>
      <c r="C31" s="33"/>
      <c r="D31" s="250" t="s">
        <v>18</v>
      </c>
      <c r="E31" s="250" t="s">
        <v>434</v>
      </c>
      <c r="F31" s="250" t="s">
        <v>584</v>
      </c>
      <c r="G31" s="34">
        <v>110</v>
      </c>
      <c r="H31" s="530"/>
      <c r="I31" s="530"/>
      <c r="J31" s="530"/>
      <c r="K31" s="530"/>
      <c r="L31" s="530"/>
      <c r="M31" s="530">
        <v>1.3</v>
      </c>
      <c r="N31" s="531">
        <v>12.5</v>
      </c>
      <c r="O31" s="531">
        <v>0</v>
      </c>
      <c r="P31" s="528">
        <v>0</v>
      </c>
      <c r="Q31" s="527">
        <f t="shared" si="0"/>
        <v>13.8</v>
      </c>
      <c r="R31" s="33"/>
    </row>
    <row r="32" spans="1:18" ht="24.6" customHeight="1" x14ac:dyDescent="0.25">
      <c r="A32" s="294"/>
      <c r="B32" s="33"/>
      <c r="C32" s="33"/>
      <c r="D32" s="250" t="s">
        <v>18</v>
      </c>
      <c r="E32" s="250" t="s">
        <v>434</v>
      </c>
      <c r="F32" s="250" t="s">
        <v>576</v>
      </c>
      <c r="G32" s="34">
        <v>350</v>
      </c>
      <c r="H32" s="530"/>
      <c r="I32" s="530"/>
      <c r="J32" s="530">
        <v>178.1</v>
      </c>
      <c r="K32" s="530">
        <v>228.1</v>
      </c>
      <c r="L32" s="530">
        <v>209.8</v>
      </c>
      <c r="M32" s="530">
        <v>280</v>
      </c>
      <c r="N32" s="531">
        <v>260</v>
      </c>
      <c r="O32" s="531">
        <v>200</v>
      </c>
      <c r="P32" s="531">
        <v>200</v>
      </c>
      <c r="Q32" s="527">
        <f t="shared" si="0"/>
        <v>1556</v>
      </c>
      <c r="R32" s="33"/>
    </row>
    <row r="33" spans="1:18" ht="24.95" customHeight="1" x14ac:dyDescent="0.25">
      <c r="A33" s="294"/>
      <c r="B33" s="33"/>
      <c r="C33" s="33"/>
      <c r="D33" s="250" t="s">
        <v>18</v>
      </c>
      <c r="E33" s="250" t="s">
        <v>434</v>
      </c>
      <c r="F33" s="250" t="s">
        <v>576</v>
      </c>
      <c r="G33" s="34">
        <v>360</v>
      </c>
      <c r="H33" s="530"/>
      <c r="I33" s="530"/>
      <c r="J33" s="530">
        <v>102</v>
      </c>
      <c r="K33" s="530">
        <v>70</v>
      </c>
      <c r="L33" s="530">
        <v>100</v>
      </c>
      <c r="M33" s="530"/>
      <c r="N33" s="531"/>
      <c r="O33" s="531"/>
      <c r="P33" s="528">
        <f t="shared" si="1"/>
        <v>0</v>
      </c>
      <c r="Q33" s="527">
        <f t="shared" si="0"/>
        <v>272</v>
      </c>
      <c r="R33" s="33"/>
    </row>
    <row r="34" spans="1:18" ht="24.95" customHeight="1" x14ac:dyDescent="0.25">
      <c r="A34" s="294"/>
      <c r="B34" s="33"/>
      <c r="C34" s="33"/>
      <c r="D34" s="250" t="s">
        <v>18</v>
      </c>
      <c r="E34" s="250" t="s">
        <v>434</v>
      </c>
      <c r="F34" s="250" t="s">
        <v>576</v>
      </c>
      <c r="G34" s="34">
        <v>850</v>
      </c>
      <c r="H34" s="530"/>
      <c r="I34" s="530"/>
      <c r="J34" s="530"/>
      <c r="K34" s="530">
        <v>10.1</v>
      </c>
      <c r="L34" s="530"/>
      <c r="M34" s="530">
        <v>0.1</v>
      </c>
      <c r="N34" s="531"/>
      <c r="O34" s="531"/>
      <c r="P34" s="528">
        <f t="shared" si="1"/>
        <v>0</v>
      </c>
      <c r="Q34" s="527">
        <f t="shared" si="0"/>
        <v>10.199999999999999</v>
      </c>
      <c r="R34" s="33"/>
    </row>
    <row r="35" spans="1:18" ht="42.6" customHeight="1" x14ac:dyDescent="0.25">
      <c r="A35" s="294"/>
      <c r="B35" s="33"/>
      <c r="C35" s="33"/>
      <c r="D35" s="250" t="s">
        <v>18</v>
      </c>
      <c r="E35" s="250" t="s">
        <v>434</v>
      </c>
      <c r="F35" s="250" t="s">
        <v>581</v>
      </c>
      <c r="G35" s="34">
        <v>110</v>
      </c>
      <c r="H35" s="530"/>
      <c r="I35" s="530"/>
      <c r="J35" s="530"/>
      <c r="K35" s="530"/>
      <c r="L35" s="530">
        <v>164.2</v>
      </c>
      <c r="M35" s="530"/>
      <c r="N35" s="531"/>
      <c r="O35" s="531"/>
      <c r="P35" s="528">
        <f t="shared" si="1"/>
        <v>0</v>
      </c>
      <c r="Q35" s="527">
        <f t="shared" si="0"/>
        <v>164.2</v>
      </c>
      <c r="R35" s="33"/>
    </row>
    <row r="36" spans="1:18" ht="24.95" customHeight="1" x14ac:dyDescent="0.25">
      <c r="A36" s="294"/>
      <c r="B36" s="33"/>
      <c r="C36" s="33"/>
      <c r="D36" s="250" t="s">
        <v>18</v>
      </c>
      <c r="E36" s="250" t="s">
        <v>434</v>
      </c>
      <c r="F36" s="250" t="s">
        <v>592</v>
      </c>
      <c r="G36" s="34">
        <v>110</v>
      </c>
      <c r="H36" s="530">
        <v>0</v>
      </c>
      <c r="I36" s="530">
        <v>0</v>
      </c>
      <c r="J36" s="530">
        <v>0</v>
      </c>
      <c r="K36" s="530">
        <v>210.1</v>
      </c>
      <c r="L36" s="530"/>
      <c r="M36" s="530">
        <v>0</v>
      </c>
      <c r="N36" s="531">
        <v>0</v>
      </c>
      <c r="O36" s="531">
        <v>0</v>
      </c>
      <c r="P36" s="528">
        <f t="shared" si="1"/>
        <v>0</v>
      </c>
      <c r="Q36" s="527">
        <f t="shared" si="0"/>
        <v>210.1</v>
      </c>
      <c r="R36" s="33"/>
    </row>
    <row r="37" spans="1:18" ht="48.6" customHeight="1" x14ac:dyDescent="0.25">
      <c r="A37" s="281" t="s">
        <v>593</v>
      </c>
      <c r="B37" s="40" t="s">
        <v>594</v>
      </c>
      <c r="C37" s="40" t="s">
        <v>595</v>
      </c>
      <c r="D37" s="250" t="s">
        <v>18</v>
      </c>
      <c r="E37" s="250" t="s">
        <v>434</v>
      </c>
      <c r="F37" s="250" t="s">
        <v>576</v>
      </c>
      <c r="G37" s="34">
        <v>110</v>
      </c>
      <c r="H37" s="530"/>
      <c r="I37" s="530"/>
      <c r="J37" s="530"/>
      <c r="K37" s="530"/>
      <c r="L37" s="530"/>
      <c r="M37" s="530">
        <v>2933.4</v>
      </c>
      <c r="N37" s="531">
        <v>7511.8</v>
      </c>
      <c r="O37" s="531">
        <f>N37</f>
        <v>7511.8</v>
      </c>
      <c r="P37" s="528">
        <f t="shared" si="1"/>
        <v>7511.8</v>
      </c>
      <c r="Q37" s="527">
        <f t="shared" si="0"/>
        <v>25468.799999999999</v>
      </c>
      <c r="R37" s="33"/>
    </row>
    <row r="38" spans="1:18" ht="48.6" customHeight="1" x14ac:dyDescent="0.25">
      <c r="A38" s="532"/>
      <c r="B38" s="42"/>
      <c r="C38" s="42"/>
      <c r="D38" s="250" t="s">
        <v>18</v>
      </c>
      <c r="E38" s="250" t="s">
        <v>434</v>
      </c>
      <c r="F38" s="250" t="s">
        <v>584</v>
      </c>
      <c r="G38" s="34">
        <v>110</v>
      </c>
      <c r="H38" s="530"/>
      <c r="I38" s="530"/>
      <c r="J38" s="530"/>
      <c r="K38" s="530"/>
      <c r="L38" s="530"/>
      <c r="M38" s="530">
        <v>24</v>
      </c>
      <c r="N38" s="531">
        <v>217.4</v>
      </c>
      <c r="O38" s="531"/>
      <c r="P38" s="528"/>
      <c r="Q38" s="527">
        <f t="shared" si="0"/>
        <v>241.4</v>
      </c>
      <c r="R38" s="33"/>
    </row>
    <row r="39" spans="1:18" ht="48.6" customHeight="1" x14ac:dyDescent="0.25">
      <c r="A39" s="532"/>
      <c r="B39" s="42"/>
      <c r="C39" s="42"/>
      <c r="D39" s="250" t="s">
        <v>18</v>
      </c>
      <c r="E39" s="250" t="s">
        <v>434</v>
      </c>
      <c r="F39" s="250" t="s">
        <v>596</v>
      </c>
      <c r="G39" s="34">
        <v>110</v>
      </c>
      <c r="H39" s="530"/>
      <c r="I39" s="530"/>
      <c r="J39" s="530"/>
      <c r="K39" s="530"/>
      <c r="L39" s="530"/>
      <c r="M39" s="530">
        <v>172.3</v>
      </c>
      <c r="N39" s="531"/>
      <c r="O39" s="531"/>
      <c r="P39" s="528"/>
      <c r="Q39" s="527">
        <f t="shared" si="0"/>
        <v>172.3</v>
      </c>
      <c r="R39" s="33"/>
    </row>
    <row r="40" spans="1:18" ht="48.6" customHeight="1" x14ac:dyDescent="0.25">
      <c r="A40" s="532"/>
      <c r="B40" s="42"/>
      <c r="C40" s="42"/>
      <c r="D40" s="250" t="s">
        <v>18</v>
      </c>
      <c r="E40" s="250" t="s">
        <v>434</v>
      </c>
      <c r="F40" s="250" t="s">
        <v>585</v>
      </c>
      <c r="G40" s="34">
        <v>110</v>
      </c>
      <c r="H40" s="530"/>
      <c r="I40" s="530"/>
      <c r="J40" s="530"/>
      <c r="K40" s="530"/>
      <c r="L40" s="530"/>
      <c r="M40" s="530"/>
      <c r="N40" s="531">
        <v>202.9</v>
      </c>
      <c r="O40" s="531"/>
      <c r="P40" s="528"/>
      <c r="Q40" s="527"/>
      <c r="R40" s="33"/>
    </row>
    <row r="41" spans="1:18" ht="48.6" customHeight="1" x14ac:dyDescent="0.25">
      <c r="A41" s="532"/>
      <c r="B41" s="42"/>
      <c r="C41" s="42"/>
      <c r="D41" s="250" t="s">
        <v>18</v>
      </c>
      <c r="E41" s="250" t="s">
        <v>434</v>
      </c>
      <c r="F41" s="250" t="s">
        <v>586</v>
      </c>
      <c r="G41" s="34">
        <v>110</v>
      </c>
      <c r="H41" s="530"/>
      <c r="I41" s="530"/>
      <c r="J41" s="530"/>
      <c r="K41" s="530"/>
      <c r="L41" s="530"/>
      <c r="M41" s="530">
        <v>51.5</v>
      </c>
      <c r="N41" s="531"/>
      <c r="O41" s="531"/>
      <c r="P41" s="528"/>
      <c r="Q41" s="527">
        <f t="shared" si="0"/>
        <v>51.5</v>
      </c>
      <c r="R41" s="33"/>
    </row>
    <row r="42" spans="1:18" ht="24.95" customHeight="1" x14ac:dyDescent="0.25">
      <c r="A42" s="532"/>
      <c r="B42" s="42"/>
      <c r="C42" s="42"/>
      <c r="D42" s="250" t="s">
        <v>18</v>
      </c>
      <c r="E42" s="250" t="s">
        <v>434</v>
      </c>
      <c r="F42" s="250" t="s">
        <v>576</v>
      </c>
      <c r="G42" s="34">
        <v>240</v>
      </c>
      <c r="H42" s="530"/>
      <c r="I42" s="530"/>
      <c r="J42" s="530"/>
      <c r="K42" s="530"/>
      <c r="L42" s="530"/>
      <c r="M42" s="530">
        <v>2454.6</v>
      </c>
      <c r="N42" s="531">
        <v>3304.9</v>
      </c>
      <c r="O42" s="531">
        <f>N42</f>
        <v>3304.9</v>
      </c>
      <c r="P42" s="528">
        <f t="shared" si="1"/>
        <v>3304.9</v>
      </c>
      <c r="Q42" s="527">
        <f t="shared" si="0"/>
        <v>12369.3</v>
      </c>
      <c r="R42" s="33"/>
    </row>
    <row r="43" spans="1:18" ht="24.95" customHeight="1" x14ac:dyDescent="0.25">
      <c r="A43" s="532"/>
      <c r="B43" s="42"/>
      <c r="C43" s="42"/>
      <c r="D43" s="250" t="s">
        <v>18</v>
      </c>
      <c r="E43" s="250" t="s">
        <v>434</v>
      </c>
      <c r="F43" s="250" t="s">
        <v>576</v>
      </c>
      <c r="G43" s="34">
        <v>320</v>
      </c>
      <c r="H43" s="530"/>
      <c r="I43" s="530"/>
      <c r="J43" s="530"/>
      <c r="K43" s="530"/>
      <c r="L43" s="530"/>
      <c r="M43" s="530">
        <v>310.10000000000002</v>
      </c>
      <c r="N43" s="531"/>
      <c r="O43" s="531"/>
      <c r="P43" s="528">
        <f t="shared" si="1"/>
        <v>0</v>
      </c>
      <c r="Q43" s="527">
        <f t="shared" si="0"/>
        <v>310.10000000000002</v>
      </c>
      <c r="R43" s="33"/>
    </row>
    <row r="44" spans="1:18" ht="24.95" customHeight="1" x14ac:dyDescent="0.25">
      <c r="A44" s="532"/>
      <c r="B44" s="42"/>
      <c r="C44" s="42"/>
      <c r="D44" s="250" t="s">
        <v>18</v>
      </c>
      <c r="E44" s="250" t="s">
        <v>434</v>
      </c>
      <c r="F44" s="250" t="s">
        <v>576</v>
      </c>
      <c r="G44" s="34">
        <v>800</v>
      </c>
      <c r="H44" s="530"/>
      <c r="I44" s="530"/>
      <c r="J44" s="530"/>
      <c r="K44" s="530"/>
      <c r="L44" s="530"/>
      <c r="M44" s="530">
        <v>29.3</v>
      </c>
      <c r="N44" s="531">
        <f>6+37.6</f>
        <v>43.6</v>
      </c>
      <c r="O44" s="531">
        <f>N44+0.1</f>
        <v>43.7</v>
      </c>
      <c r="P44" s="528">
        <f t="shared" si="1"/>
        <v>43.7</v>
      </c>
      <c r="Q44" s="527">
        <f t="shared" si="0"/>
        <v>160.30000000000001</v>
      </c>
      <c r="R44" s="33"/>
    </row>
    <row r="45" spans="1:18" ht="24.95" customHeight="1" x14ac:dyDescent="0.25">
      <c r="A45" s="283"/>
      <c r="B45" s="75"/>
      <c r="C45" s="75"/>
      <c r="D45" s="250" t="s">
        <v>18</v>
      </c>
      <c r="E45" s="250" t="s">
        <v>434</v>
      </c>
      <c r="F45" s="250" t="s">
        <v>583</v>
      </c>
      <c r="G45" s="34">
        <v>110</v>
      </c>
      <c r="H45" s="530"/>
      <c r="I45" s="530"/>
      <c r="J45" s="530"/>
      <c r="K45" s="530"/>
      <c r="L45" s="530"/>
      <c r="M45" s="530">
        <v>1700.2</v>
      </c>
      <c r="N45" s="531">
        <v>2634.8</v>
      </c>
      <c r="O45" s="531">
        <f>N45</f>
        <v>2634.8</v>
      </c>
      <c r="P45" s="528">
        <f t="shared" si="1"/>
        <v>2634.8</v>
      </c>
      <c r="Q45" s="527">
        <f t="shared" si="0"/>
        <v>9604.6</v>
      </c>
      <c r="R45" s="33"/>
    </row>
    <row r="46" spans="1:18" ht="24.95" customHeight="1" x14ac:dyDescent="0.25">
      <c r="A46" s="533" t="s">
        <v>320</v>
      </c>
      <c r="B46" s="533"/>
      <c r="C46" s="12"/>
      <c r="D46" s="250"/>
      <c r="E46" s="250"/>
      <c r="F46" s="302"/>
      <c r="G46" s="250"/>
      <c r="H46" s="530">
        <f>SUM(H7:H36)</f>
        <v>19536.699999999997</v>
      </c>
      <c r="I46" s="530">
        <f>SUM(I7:I36)</f>
        <v>21029.500000000004</v>
      </c>
      <c r="J46" s="530">
        <f>SUM(J7:J36)</f>
        <v>21804.799999999996</v>
      </c>
      <c r="K46" s="530">
        <f>SUM(K7:K36)</f>
        <v>23513.399999999994</v>
      </c>
      <c r="L46" s="530">
        <f>SUM(L7:L36)</f>
        <v>24124.210000000003</v>
      </c>
      <c r="M46" s="530">
        <f>SUM(M7:M45)</f>
        <v>32474.699999999997</v>
      </c>
      <c r="N46" s="531">
        <f>SUM(N7:N45)</f>
        <v>39641.1</v>
      </c>
      <c r="O46" s="531">
        <f>SUM(O7:O45)</f>
        <v>37378.6</v>
      </c>
      <c r="P46" s="531">
        <f>SUM(P7:P45)</f>
        <v>37378.6</v>
      </c>
      <c r="Q46" s="530">
        <f>SUM(Q7:Q45)</f>
        <v>255258.50999999995</v>
      </c>
      <c r="R46" s="33"/>
    </row>
    <row r="47" spans="1:18" ht="35.1" customHeight="1" x14ac:dyDescent="0.25">
      <c r="A47" s="247" t="s">
        <v>556</v>
      </c>
      <c r="B47" s="247"/>
      <c r="C47" s="247"/>
      <c r="D47" s="247"/>
      <c r="E47" s="247"/>
      <c r="F47" s="247"/>
      <c r="G47" s="247"/>
      <c r="H47" s="247"/>
      <c r="I47" s="247"/>
      <c r="J47" s="247"/>
      <c r="K47" s="247"/>
      <c r="L47" s="247"/>
      <c r="M47" s="247"/>
      <c r="N47" s="247"/>
      <c r="O47" s="247"/>
      <c r="P47" s="247"/>
      <c r="Q47" s="247"/>
      <c r="R47" s="247"/>
    </row>
    <row r="48" spans="1:18" ht="24.95" customHeight="1" x14ac:dyDescent="0.25">
      <c r="A48" s="294" t="s">
        <v>597</v>
      </c>
      <c r="B48" s="534" t="s">
        <v>598</v>
      </c>
      <c r="C48" s="33" t="s">
        <v>599</v>
      </c>
      <c r="D48" s="352" t="s">
        <v>18</v>
      </c>
      <c r="E48" s="371" t="s">
        <v>434</v>
      </c>
      <c r="F48" s="250" t="s">
        <v>600</v>
      </c>
      <c r="G48" s="12">
        <v>120</v>
      </c>
      <c r="H48" s="530">
        <v>817.5</v>
      </c>
      <c r="I48" s="530">
        <v>841.6</v>
      </c>
      <c r="J48" s="530">
        <v>858.7</v>
      </c>
      <c r="K48" s="530">
        <v>858.7</v>
      </c>
      <c r="L48" s="530">
        <v>1430.7</v>
      </c>
      <c r="M48" s="530">
        <v>1626.7</v>
      </c>
      <c r="N48" s="531">
        <v>1889.8</v>
      </c>
      <c r="O48" s="531">
        <v>2029.5</v>
      </c>
      <c r="P48" s="531">
        <v>2029.5</v>
      </c>
      <c r="Q48" s="530">
        <f>SUM(H48:P48)</f>
        <v>12382.699999999999</v>
      </c>
      <c r="R48" s="33" t="s">
        <v>601</v>
      </c>
    </row>
    <row r="49" spans="1:18" ht="24.95" customHeight="1" x14ac:dyDescent="0.25">
      <c r="A49" s="294"/>
      <c r="B49" s="534"/>
      <c r="C49" s="33"/>
      <c r="D49" s="352"/>
      <c r="E49" s="371"/>
      <c r="F49" s="250" t="s">
        <v>600</v>
      </c>
      <c r="G49" s="12">
        <v>850</v>
      </c>
      <c r="H49" s="530"/>
      <c r="I49" s="530"/>
      <c r="J49" s="530">
        <v>0.3</v>
      </c>
      <c r="K49" s="530"/>
      <c r="L49" s="530">
        <v>0.6</v>
      </c>
      <c r="M49" s="530">
        <v>0.6</v>
      </c>
      <c r="N49" s="531">
        <v>0.6</v>
      </c>
      <c r="O49" s="531">
        <v>0.6</v>
      </c>
      <c r="P49" s="531">
        <v>0.6</v>
      </c>
      <c r="Q49" s="530">
        <f t="shared" ref="Q49:Q54" si="2">SUM(H49:P49)</f>
        <v>3.3000000000000003</v>
      </c>
      <c r="R49" s="33"/>
    </row>
    <row r="50" spans="1:18" ht="24.95" customHeight="1" x14ac:dyDescent="0.25">
      <c r="A50" s="294"/>
      <c r="B50" s="534"/>
      <c r="C50" s="33"/>
      <c r="D50" s="352"/>
      <c r="E50" s="371"/>
      <c r="F50" s="250" t="s">
        <v>600</v>
      </c>
      <c r="G50" s="34">
        <v>244</v>
      </c>
      <c r="H50" s="530">
        <v>248</v>
      </c>
      <c r="I50" s="530">
        <v>247.9</v>
      </c>
      <c r="J50" s="530">
        <v>247.6</v>
      </c>
      <c r="K50" s="530">
        <v>247.9</v>
      </c>
      <c r="L50" s="530">
        <v>383.9</v>
      </c>
      <c r="M50" s="530">
        <v>399</v>
      </c>
      <c r="N50" s="531">
        <v>399</v>
      </c>
      <c r="O50" s="531">
        <v>399</v>
      </c>
      <c r="P50" s="531">
        <v>399</v>
      </c>
      <c r="Q50" s="530">
        <f t="shared" si="2"/>
        <v>2971.3</v>
      </c>
      <c r="R50" s="33"/>
    </row>
    <row r="51" spans="1:18" ht="24.95" customHeight="1" x14ac:dyDescent="0.25">
      <c r="A51" s="294" t="s">
        <v>602</v>
      </c>
      <c r="B51" s="534" t="s">
        <v>603</v>
      </c>
      <c r="C51" s="33" t="s">
        <v>604</v>
      </c>
      <c r="D51" s="250" t="s">
        <v>20</v>
      </c>
      <c r="E51" s="250" t="s">
        <v>294</v>
      </c>
      <c r="F51" s="250" t="s">
        <v>605</v>
      </c>
      <c r="G51" s="250" t="s">
        <v>606</v>
      </c>
      <c r="H51" s="530">
        <v>2129.1999999999998</v>
      </c>
      <c r="I51" s="530">
        <v>3247.3</v>
      </c>
      <c r="J51" s="530">
        <v>9009.9</v>
      </c>
      <c r="K51" s="530">
        <v>0</v>
      </c>
      <c r="L51" s="530"/>
      <c r="M51" s="530"/>
      <c r="N51" s="531"/>
      <c r="O51" s="531"/>
      <c r="P51" s="531">
        <f>O51</f>
        <v>0</v>
      </c>
      <c r="Q51" s="530">
        <f t="shared" si="2"/>
        <v>14386.4</v>
      </c>
      <c r="R51" s="33" t="s">
        <v>607</v>
      </c>
    </row>
    <row r="52" spans="1:18" ht="24.95" customHeight="1" x14ac:dyDescent="0.25">
      <c r="A52" s="294"/>
      <c r="B52" s="534"/>
      <c r="C52" s="33"/>
      <c r="D52" s="250" t="s">
        <v>20</v>
      </c>
      <c r="E52" s="250" t="s">
        <v>294</v>
      </c>
      <c r="F52" s="250" t="s">
        <v>608</v>
      </c>
      <c r="G52" s="250" t="s">
        <v>606</v>
      </c>
      <c r="H52" s="530">
        <v>5394</v>
      </c>
      <c r="I52" s="530">
        <v>4190.7</v>
      </c>
      <c r="J52" s="530"/>
      <c r="K52" s="530"/>
      <c r="L52" s="530"/>
      <c r="M52" s="530"/>
      <c r="N52" s="531"/>
      <c r="O52" s="531"/>
      <c r="P52" s="531">
        <f>O52</f>
        <v>0</v>
      </c>
      <c r="Q52" s="530">
        <f t="shared" si="2"/>
        <v>9584.7000000000007</v>
      </c>
      <c r="R52" s="33"/>
    </row>
    <row r="53" spans="1:18" ht="40.9" customHeight="1" x14ac:dyDescent="0.25">
      <c r="A53" s="294"/>
      <c r="B53" s="534"/>
      <c r="C53" s="33"/>
      <c r="D53" s="250" t="s">
        <v>20</v>
      </c>
      <c r="E53" s="250" t="s">
        <v>294</v>
      </c>
      <c r="F53" s="250" t="s">
        <v>609</v>
      </c>
      <c r="G53" s="250" t="s">
        <v>606</v>
      </c>
      <c r="H53" s="530"/>
      <c r="I53" s="530"/>
      <c r="J53" s="530">
        <v>473.9</v>
      </c>
      <c r="K53" s="530">
        <f>5610+2805+765</f>
        <v>9180</v>
      </c>
      <c r="L53" s="530">
        <v>10241.9</v>
      </c>
      <c r="M53" s="530">
        <v>9907.9</v>
      </c>
      <c r="N53" s="531">
        <v>0</v>
      </c>
      <c r="O53" s="531">
        <v>6111.9</v>
      </c>
      <c r="P53" s="531">
        <v>3055.9</v>
      </c>
      <c r="Q53" s="530">
        <f t="shared" si="2"/>
        <v>38971.5</v>
      </c>
      <c r="R53" s="33"/>
    </row>
    <row r="54" spans="1:18" ht="35.1" customHeight="1" x14ac:dyDescent="0.3">
      <c r="A54" s="535" t="s">
        <v>449</v>
      </c>
      <c r="B54" s="535"/>
      <c r="C54" s="536"/>
      <c r="D54" s="537"/>
      <c r="E54" s="537"/>
      <c r="F54" s="538"/>
      <c r="G54" s="537"/>
      <c r="H54" s="530">
        <f t="shared" ref="H54:N54" si="3">SUM(H48:H53)</f>
        <v>8588.7000000000007</v>
      </c>
      <c r="I54" s="530">
        <f t="shared" si="3"/>
        <v>8527.5</v>
      </c>
      <c r="J54" s="530">
        <f t="shared" si="3"/>
        <v>10590.4</v>
      </c>
      <c r="K54" s="530">
        <f t="shared" si="3"/>
        <v>10286.6</v>
      </c>
      <c r="L54" s="530">
        <f>SUM(L48:L53)</f>
        <v>12057.099999999999</v>
      </c>
      <c r="M54" s="530">
        <f t="shared" si="3"/>
        <v>11934.199999999999</v>
      </c>
      <c r="N54" s="531">
        <f t="shared" si="3"/>
        <v>2289.3999999999996</v>
      </c>
      <c r="O54" s="531">
        <f>SUM(O48:O53)</f>
        <v>8541</v>
      </c>
      <c r="P54" s="531">
        <f>SUM(P48:P53)</f>
        <v>5485</v>
      </c>
      <c r="Q54" s="530">
        <f t="shared" si="2"/>
        <v>78299.899999999994</v>
      </c>
      <c r="R54" s="539"/>
    </row>
    <row r="55" spans="1:18" s="152" customFormat="1" ht="35.1" customHeight="1" x14ac:dyDescent="0.2">
      <c r="A55" s="540" t="s">
        <v>321</v>
      </c>
      <c r="B55" s="540"/>
      <c r="C55" s="536"/>
      <c r="D55" s="537"/>
      <c r="E55" s="536"/>
      <c r="F55" s="536"/>
      <c r="G55" s="536"/>
      <c r="H55" s="530">
        <f t="shared" ref="H55:N55" si="4">H46+H54</f>
        <v>28125.399999999998</v>
      </c>
      <c r="I55" s="530">
        <f t="shared" si="4"/>
        <v>29557.000000000004</v>
      </c>
      <c r="J55" s="530">
        <f t="shared" si="4"/>
        <v>32395.199999999997</v>
      </c>
      <c r="K55" s="530">
        <f t="shared" si="4"/>
        <v>33799.999999999993</v>
      </c>
      <c r="L55" s="530">
        <f t="shared" si="4"/>
        <v>36181.31</v>
      </c>
      <c r="M55" s="530">
        <f t="shared" si="4"/>
        <v>44408.899999999994</v>
      </c>
      <c r="N55" s="531">
        <f t="shared" si="4"/>
        <v>41930.5</v>
      </c>
      <c r="O55" s="531">
        <f>O46+O54</f>
        <v>45919.6</v>
      </c>
      <c r="P55" s="531">
        <f>P46+P54</f>
        <v>42863.6</v>
      </c>
      <c r="Q55" s="530">
        <f>SUM(H55:P55)</f>
        <v>335181.50999999995</v>
      </c>
      <c r="R55" s="541"/>
    </row>
    <row r="56" spans="1:18" s="152" customFormat="1" ht="35.1" customHeight="1" x14ac:dyDescent="0.2">
      <c r="A56" s="540" t="s">
        <v>322</v>
      </c>
      <c r="B56" s="540"/>
      <c r="C56" s="536"/>
      <c r="D56" s="537"/>
      <c r="E56" s="536"/>
      <c r="F56" s="536"/>
      <c r="G56" s="536"/>
      <c r="H56" s="530">
        <f>H54</f>
        <v>8588.7000000000007</v>
      </c>
      <c r="I56" s="530">
        <f>I54</f>
        <v>8527.5</v>
      </c>
      <c r="J56" s="530">
        <f>J54</f>
        <v>10590.4</v>
      </c>
      <c r="K56" s="530">
        <f>K54</f>
        <v>10286.6</v>
      </c>
      <c r="L56" s="530">
        <f>L54+L35+L15+L14+L17+L13</f>
        <v>12950.499999999998</v>
      </c>
      <c r="M56" s="530">
        <f>M12+M14+M15+M20+M22+M30+M31+M38+M39+M41+M54</f>
        <v>12440.3</v>
      </c>
      <c r="N56" s="531">
        <f>N12+N14+N15+N20+N22+N30+N31+N38+N39+N41+N54+N40+N28+N21+N10+N11</f>
        <v>4225.9999999999991</v>
      </c>
      <c r="O56" s="531">
        <f>O12+O14+O15+O20+O22+O30+O31+O38+O39+O41+O54</f>
        <v>8541</v>
      </c>
      <c r="P56" s="531">
        <f>P12+P14+P15+P20+P22+P30+P31+P38+P39+P41+P54</f>
        <v>5485</v>
      </c>
      <c r="Q56" s="530">
        <f>SUM(H56:P56)</f>
        <v>81636</v>
      </c>
      <c r="R56" s="541"/>
    </row>
    <row r="57" spans="1:18" s="152" customFormat="1" ht="35.1" customHeight="1" x14ac:dyDescent="0.2">
      <c r="A57" s="540" t="s">
        <v>323</v>
      </c>
      <c r="B57" s="540"/>
      <c r="C57" s="536"/>
      <c r="D57" s="537"/>
      <c r="E57" s="536"/>
      <c r="F57" s="536"/>
      <c r="G57" s="536"/>
      <c r="H57" s="530">
        <f>H46</f>
        <v>19536.699999999997</v>
      </c>
      <c r="I57" s="530">
        <f>I46</f>
        <v>21029.500000000004</v>
      </c>
      <c r="J57" s="530">
        <f>J46</f>
        <v>21804.799999999996</v>
      </c>
      <c r="K57" s="530">
        <f>K46</f>
        <v>23513.399999999994</v>
      </c>
      <c r="L57" s="530">
        <f>L7+L8+L16+L18+L19+L23+L24+L25+L26+L27+L32+L33+L9</f>
        <v>23230.81</v>
      </c>
      <c r="M57" s="530">
        <f>M55-M56</f>
        <v>31968.599999999995</v>
      </c>
      <c r="N57" s="531">
        <f>N55-N56</f>
        <v>37704.5</v>
      </c>
      <c r="O57" s="531">
        <f>O55-O56</f>
        <v>37378.6</v>
      </c>
      <c r="P57" s="531">
        <f>P55-P56</f>
        <v>37378.6</v>
      </c>
      <c r="Q57" s="530">
        <f>Q55-Q56</f>
        <v>253545.50999999995</v>
      </c>
      <c r="R57" s="541"/>
    </row>
    <row r="58" spans="1:18" s="329" customFormat="1" ht="56.25" customHeight="1" x14ac:dyDescent="0.3">
      <c r="A58" s="542" t="s">
        <v>33</v>
      </c>
      <c r="B58" s="542"/>
      <c r="C58" s="542"/>
      <c r="D58" s="543"/>
      <c r="E58" s="543"/>
      <c r="F58" s="543"/>
      <c r="G58" s="543"/>
      <c r="H58" s="543"/>
      <c r="I58" s="544"/>
      <c r="J58" s="545"/>
      <c r="K58" s="546"/>
      <c r="L58" s="547"/>
      <c r="M58" s="547"/>
      <c r="N58" s="548"/>
      <c r="O58" s="548"/>
      <c r="P58" s="548"/>
      <c r="Q58" s="545"/>
      <c r="R58" s="549" t="s">
        <v>34</v>
      </c>
    </row>
    <row r="59" spans="1:18" x14ac:dyDescent="0.25">
      <c r="A59" s="314"/>
      <c r="B59" s="315"/>
      <c r="C59" s="316"/>
      <c r="D59" s="316"/>
      <c r="E59" s="316"/>
      <c r="F59" s="316"/>
      <c r="G59" s="316"/>
      <c r="H59" s="316"/>
      <c r="L59" s="54"/>
    </row>
    <row r="60" spans="1:18" x14ac:dyDescent="0.25">
      <c r="A60" s="314"/>
      <c r="B60" s="315"/>
      <c r="C60" s="316"/>
      <c r="D60" s="316"/>
      <c r="E60" s="316"/>
      <c r="F60" s="316"/>
      <c r="G60" s="316"/>
      <c r="H60" s="316"/>
    </row>
    <row r="61" spans="1:18" x14ac:dyDescent="0.25">
      <c r="A61" s="314"/>
      <c r="B61" s="315"/>
      <c r="C61" s="316"/>
      <c r="D61" s="316"/>
      <c r="E61" s="316"/>
      <c r="F61" s="316"/>
      <c r="G61" s="316"/>
      <c r="H61" s="316"/>
      <c r="I61" s="52"/>
    </row>
    <row r="62" spans="1:18" x14ac:dyDescent="0.25">
      <c r="A62" s="314"/>
      <c r="B62" s="315"/>
      <c r="C62" s="316"/>
      <c r="D62" s="316"/>
      <c r="E62" s="316"/>
      <c r="F62" s="316"/>
      <c r="G62" s="316"/>
      <c r="H62" s="316"/>
    </row>
    <row r="63" spans="1:18" x14ac:dyDescent="0.25">
      <c r="A63" s="314"/>
      <c r="B63" s="315"/>
      <c r="C63" s="316"/>
      <c r="D63" s="316"/>
      <c r="E63" s="316"/>
      <c r="F63" s="316"/>
      <c r="G63" s="316"/>
      <c r="H63" s="316"/>
    </row>
    <row r="64" spans="1:18" x14ac:dyDescent="0.25">
      <c r="A64" s="314"/>
      <c r="B64" s="315"/>
      <c r="C64" s="316"/>
      <c r="D64" s="316"/>
      <c r="E64" s="316"/>
      <c r="F64" s="316"/>
      <c r="G64" s="316"/>
      <c r="H64" s="316"/>
    </row>
    <row r="65" spans="1:8" x14ac:dyDescent="0.25">
      <c r="A65" s="314"/>
      <c r="B65" s="315"/>
      <c r="C65" s="316"/>
      <c r="D65" s="316"/>
      <c r="E65" s="316"/>
      <c r="F65" s="316"/>
      <c r="G65" s="316"/>
      <c r="H65" s="316"/>
    </row>
    <row r="66" spans="1:8" x14ac:dyDescent="0.25">
      <c r="A66" s="314"/>
      <c r="B66" s="315"/>
      <c r="C66" s="316"/>
      <c r="D66" s="316"/>
      <c r="E66" s="316"/>
      <c r="F66" s="316"/>
      <c r="G66" s="316"/>
      <c r="H66" s="316"/>
    </row>
    <row r="67" spans="1:8" x14ac:dyDescent="0.25">
      <c r="A67" s="314"/>
      <c r="B67" s="315"/>
      <c r="C67" s="316"/>
      <c r="D67" s="316"/>
      <c r="E67" s="316"/>
      <c r="F67" s="316"/>
      <c r="G67" s="316"/>
      <c r="H67" s="316"/>
    </row>
    <row r="68" spans="1:8" x14ac:dyDescent="0.25">
      <c r="A68" s="314"/>
      <c r="B68" s="315"/>
      <c r="C68" s="316"/>
      <c r="D68" s="316"/>
      <c r="E68" s="316"/>
      <c r="F68" s="316"/>
      <c r="G68" s="316"/>
      <c r="H68" s="316"/>
    </row>
    <row r="69" spans="1:8" x14ac:dyDescent="0.25">
      <c r="A69" s="314"/>
      <c r="B69" s="315"/>
      <c r="C69" s="316"/>
      <c r="D69" s="316"/>
      <c r="E69" s="316"/>
      <c r="F69" s="316"/>
      <c r="G69" s="316"/>
      <c r="H69" s="316"/>
    </row>
    <row r="70" spans="1:8" x14ac:dyDescent="0.25">
      <c r="A70" s="314"/>
      <c r="B70" s="315"/>
      <c r="C70" s="316"/>
      <c r="D70" s="316"/>
      <c r="E70" s="316"/>
      <c r="F70" s="316"/>
      <c r="G70" s="316"/>
      <c r="H70" s="316"/>
    </row>
    <row r="71" spans="1:8" x14ac:dyDescent="0.25">
      <c r="A71" s="314"/>
      <c r="B71" s="315"/>
      <c r="C71" s="316"/>
      <c r="D71" s="316"/>
      <c r="E71" s="316"/>
      <c r="F71" s="316"/>
      <c r="G71" s="316"/>
      <c r="H71" s="316"/>
    </row>
    <row r="72" spans="1:8" x14ac:dyDescent="0.25">
      <c r="A72" s="314"/>
      <c r="B72" s="315"/>
      <c r="C72" s="316"/>
      <c r="D72" s="316"/>
      <c r="E72" s="316"/>
      <c r="F72" s="316"/>
      <c r="G72" s="316"/>
      <c r="H72" s="316"/>
    </row>
    <row r="73" spans="1:8" x14ac:dyDescent="0.25">
      <c r="A73" s="314"/>
      <c r="B73" s="315"/>
      <c r="C73" s="316"/>
      <c r="D73" s="316"/>
      <c r="E73" s="316"/>
      <c r="F73" s="316"/>
      <c r="G73" s="316"/>
      <c r="H73" s="316"/>
    </row>
    <row r="74" spans="1:8" x14ac:dyDescent="0.25">
      <c r="A74" s="314"/>
      <c r="B74" s="315"/>
      <c r="C74" s="316"/>
      <c r="D74" s="316"/>
      <c r="E74" s="316"/>
      <c r="F74" s="316"/>
      <c r="G74" s="316"/>
      <c r="H74" s="316"/>
    </row>
    <row r="75" spans="1:8" x14ac:dyDescent="0.25">
      <c r="A75" s="314"/>
      <c r="B75" s="315"/>
      <c r="C75" s="316"/>
      <c r="D75" s="316"/>
      <c r="E75" s="316"/>
      <c r="F75" s="316"/>
      <c r="G75" s="316"/>
      <c r="H75" s="316"/>
    </row>
    <row r="76" spans="1:8" x14ac:dyDescent="0.25">
      <c r="A76" s="314"/>
      <c r="B76" s="315"/>
      <c r="C76" s="316"/>
      <c r="D76" s="316"/>
      <c r="E76" s="316"/>
      <c r="F76" s="316"/>
      <c r="G76" s="316"/>
      <c r="H76" s="316"/>
    </row>
    <row r="77" spans="1:8" x14ac:dyDescent="0.25">
      <c r="A77" s="314"/>
      <c r="B77" s="315"/>
      <c r="C77" s="316"/>
      <c r="D77" s="316"/>
      <c r="E77" s="316"/>
      <c r="F77" s="316"/>
      <c r="G77" s="316"/>
      <c r="H77" s="316"/>
    </row>
    <row r="78" spans="1:8" x14ac:dyDescent="0.25">
      <c r="A78" s="314"/>
      <c r="B78" s="315"/>
      <c r="C78" s="316"/>
      <c r="D78" s="316"/>
      <c r="E78" s="316"/>
      <c r="F78" s="316"/>
      <c r="G78" s="316"/>
      <c r="H78" s="316"/>
    </row>
    <row r="79" spans="1:8" x14ac:dyDescent="0.25">
      <c r="A79" s="314"/>
      <c r="B79" s="315"/>
      <c r="C79" s="316"/>
      <c r="D79" s="316"/>
      <c r="E79" s="316"/>
      <c r="F79" s="316"/>
      <c r="G79" s="316"/>
      <c r="H79" s="316"/>
    </row>
    <row r="80" spans="1:8" x14ac:dyDescent="0.25">
      <c r="A80" s="314"/>
      <c r="B80" s="315"/>
      <c r="C80" s="316"/>
      <c r="D80" s="316"/>
      <c r="E80" s="316"/>
      <c r="F80" s="316"/>
      <c r="G80" s="316"/>
      <c r="H80" s="316"/>
    </row>
    <row r="81" spans="1:8" x14ac:dyDescent="0.25">
      <c r="A81" s="314"/>
      <c r="B81" s="315"/>
      <c r="C81" s="316"/>
      <c r="D81" s="316"/>
      <c r="E81" s="316"/>
      <c r="F81" s="316"/>
      <c r="G81" s="316"/>
      <c r="H81" s="316"/>
    </row>
    <row r="82" spans="1:8" x14ac:dyDescent="0.25">
      <c r="A82" s="314"/>
      <c r="B82" s="315"/>
      <c r="C82" s="316"/>
      <c r="D82" s="316"/>
      <c r="E82" s="316"/>
      <c r="F82" s="316"/>
      <c r="G82" s="316"/>
      <c r="H82" s="316"/>
    </row>
    <row r="83" spans="1:8" x14ac:dyDescent="0.25">
      <c r="A83" s="314"/>
      <c r="B83" s="315"/>
      <c r="C83" s="316"/>
      <c r="D83" s="316"/>
      <c r="E83" s="316"/>
      <c r="F83" s="316"/>
      <c r="G83" s="316"/>
      <c r="H83" s="316"/>
    </row>
    <row r="84" spans="1:8" x14ac:dyDescent="0.25">
      <c r="A84" s="314"/>
      <c r="B84" s="315"/>
      <c r="C84" s="316"/>
      <c r="D84" s="316"/>
      <c r="E84" s="316"/>
      <c r="F84" s="316"/>
      <c r="G84" s="316"/>
      <c r="H84" s="316"/>
    </row>
    <row r="85" spans="1:8" x14ac:dyDescent="0.25">
      <c r="A85" s="314"/>
      <c r="B85" s="315"/>
      <c r="C85" s="316"/>
      <c r="D85" s="316"/>
      <c r="E85" s="316"/>
      <c r="F85" s="316"/>
      <c r="G85" s="316"/>
      <c r="H85" s="316"/>
    </row>
    <row r="86" spans="1:8" x14ac:dyDescent="0.25">
      <c r="A86" s="314"/>
      <c r="B86" s="315"/>
      <c r="C86" s="316"/>
      <c r="D86" s="316"/>
      <c r="E86" s="316"/>
      <c r="F86" s="316"/>
      <c r="G86" s="316"/>
      <c r="H86" s="316"/>
    </row>
    <row r="87" spans="1:8" x14ac:dyDescent="0.25">
      <c r="A87" s="314"/>
      <c r="B87" s="315"/>
      <c r="C87" s="316"/>
      <c r="D87" s="316"/>
      <c r="E87" s="316"/>
      <c r="F87" s="316"/>
      <c r="G87" s="316"/>
      <c r="H87" s="316"/>
    </row>
    <row r="88" spans="1:8" x14ac:dyDescent="0.25">
      <c r="A88" s="314"/>
      <c r="B88" s="315"/>
      <c r="C88" s="316"/>
      <c r="D88" s="316"/>
      <c r="E88" s="316"/>
      <c r="F88" s="316"/>
      <c r="G88" s="316"/>
      <c r="H88" s="316"/>
    </row>
    <row r="89" spans="1:8" x14ac:dyDescent="0.25">
      <c r="A89" s="314"/>
      <c r="B89" s="315"/>
      <c r="C89" s="316"/>
      <c r="D89" s="316"/>
      <c r="E89" s="316"/>
      <c r="F89" s="316"/>
      <c r="G89" s="316"/>
      <c r="H89" s="316"/>
    </row>
    <row r="90" spans="1:8" x14ac:dyDescent="0.25">
      <c r="A90" s="314"/>
      <c r="B90" s="315"/>
      <c r="C90" s="316"/>
      <c r="D90" s="316"/>
      <c r="E90" s="316"/>
      <c r="F90" s="316"/>
      <c r="G90" s="316"/>
      <c r="H90" s="316"/>
    </row>
    <row r="91" spans="1:8" x14ac:dyDescent="0.25">
      <c r="A91" s="314"/>
      <c r="B91" s="315"/>
      <c r="C91" s="316"/>
      <c r="D91" s="316"/>
      <c r="E91" s="316"/>
      <c r="F91" s="316"/>
      <c r="G91" s="316"/>
      <c r="H91" s="316"/>
    </row>
    <row r="92" spans="1:8" x14ac:dyDescent="0.25">
      <c r="A92" s="314"/>
      <c r="B92" s="315"/>
      <c r="C92" s="316"/>
      <c r="D92" s="316"/>
      <c r="E92" s="316"/>
      <c r="F92" s="316"/>
      <c r="G92" s="316"/>
      <c r="H92" s="316"/>
    </row>
    <row r="93" spans="1:8" x14ac:dyDescent="0.25">
      <c r="A93" s="314"/>
      <c r="B93" s="315"/>
      <c r="C93" s="316"/>
      <c r="D93" s="316"/>
      <c r="E93" s="316"/>
      <c r="F93" s="316"/>
      <c r="G93" s="316"/>
      <c r="H93" s="316"/>
    </row>
    <row r="94" spans="1:8" x14ac:dyDescent="0.25">
      <c r="A94" s="314"/>
      <c r="B94" s="315"/>
      <c r="C94" s="316"/>
      <c r="D94" s="316"/>
      <c r="E94" s="316"/>
      <c r="F94" s="316"/>
      <c r="G94" s="316"/>
      <c r="H94" s="316"/>
    </row>
    <row r="95" spans="1:8" x14ac:dyDescent="0.25">
      <c r="A95" s="314"/>
      <c r="B95" s="315"/>
      <c r="C95" s="316"/>
      <c r="D95" s="316"/>
      <c r="E95" s="316"/>
      <c r="F95" s="316"/>
      <c r="G95" s="316"/>
      <c r="H95" s="316"/>
    </row>
  </sheetData>
  <mergeCells count="43">
    <mergeCell ref="A56:B56"/>
    <mergeCell ref="A57:B57"/>
    <mergeCell ref="A58:C58"/>
    <mergeCell ref="A51:A53"/>
    <mergeCell ref="B51:B53"/>
    <mergeCell ref="C51:C53"/>
    <mergeCell ref="R51:R53"/>
    <mergeCell ref="A54:B54"/>
    <mergeCell ref="A55:B55"/>
    <mergeCell ref="C37:C45"/>
    <mergeCell ref="A46:B46"/>
    <mergeCell ref="A47:R47"/>
    <mergeCell ref="A48:A50"/>
    <mergeCell ref="B48:B50"/>
    <mergeCell ref="C48:C50"/>
    <mergeCell ref="D48:D50"/>
    <mergeCell ref="E48:E50"/>
    <mergeCell ref="R48:R50"/>
    <mergeCell ref="A17:A24"/>
    <mergeCell ref="B17:B24"/>
    <mergeCell ref="C17:C24"/>
    <mergeCell ref="R17:R24"/>
    <mergeCell ref="A25:A36"/>
    <mergeCell ref="B25:B36"/>
    <mergeCell ref="C25:C36"/>
    <mergeCell ref="R25:R46"/>
    <mergeCell ref="A37:A45"/>
    <mergeCell ref="B37:B45"/>
    <mergeCell ref="A5:R5"/>
    <mergeCell ref="A6:R6"/>
    <mergeCell ref="A7:A15"/>
    <mergeCell ref="B7:B15"/>
    <mergeCell ref="C7:C15"/>
    <mergeCell ref="R7:R8"/>
    <mergeCell ref="I1:J1"/>
    <mergeCell ref="Q1:R1"/>
    <mergeCell ref="A2:R2"/>
    <mergeCell ref="A3:A4"/>
    <mergeCell ref="B3:B4"/>
    <mergeCell ref="C3:C4"/>
    <mergeCell ref="D3:G3"/>
    <mergeCell ref="H3:Q3"/>
    <mergeCell ref="R3:R4"/>
  </mergeCells>
  <pageMargins left="0.31496062992125984" right="0.31496062992125984" top="0.15748031496062992" bottom="0.15748031496062992" header="0" footer="0"/>
  <pageSetup paperSize="9" scale="29" orientation="landscape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P137"/>
  <sheetViews>
    <sheetView view="pageBreakPreview" topLeftCell="D1" zoomScaleNormal="100" zoomScaleSheetLayoutView="100" workbookViewId="0">
      <selection activeCell="G26" sqref="G26"/>
    </sheetView>
  </sheetViews>
  <sheetFormatPr defaultColWidth="9.28515625" defaultRowHeight="15" x14ac:dyDescent="0.2"/>
  <cols>
    <col min="1" max="1" width="18.42578125" style="56" customWidth="1"/>
    <col min="2" max="2" width="24.85546875" style="56" customWidth="1"/>
    <col min="3" max="3" width="30.140625" style="56" customWidth="1"/>
    <col min="4" max="4" width="13.42578125" style="56" customWidth="1"/>
    <col min="5" max="13" width="16" style="56" customWidth="1"/>
    <col min="14" max="16384" width="9.28515625" style="56"/>
  </cols>
  <sheetData>
    <row r="1" spans="1:13" ht="72" customHeight="1" x14ac:dyDescent="0.25">
      <c r="C1" s="53"/>
      <c r="D1" s="53"/>
      <c r="F1" s="57"/>
      <c r="G1" s="57"/>
      <c r="H1" s="57"/>
      <c r="I1" s="58" t="s">
        <v>35</v>
      </c>
      <c r="J1" s="58"/>
      <c r="K1" s="58"/>
      <c r="L1" s="58"/>
      <c r="M1" s="58"/>
    </row>
    <row r="2" spans="1:13" ht="55.5" customHeight="1" x14ac:dyDescent="0.2">
      <c r="A2" s="59" t="s">
        <v>36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3" ht="33.75" customHeight="1" x14ac:dyDescent="0.2">
      <c r="A3" s="50" t="s">
        <v>37</v>
      </c>
      <c r="B3" s="33" t="s">
        <v>38</v>
      </c>
      <c r="C3" s="60" t="s">
        <v>39</v>
      </c>
      <c r="D3" s="61" t="s">
        <v>40</v>
      </c>
      <c r="E3" s="61"/>
      <c r="F3" s="61"/>
      <c r="G3" s="61"/>
      <c r="H3" s="61"/>
      <c r="I3" s="61"/>
      <c r="J3" s="61"/>
      <c r="K3" s="61"/>
      <c r="L3" s="61"/>
      <c r="M3" s="61"/>
    </row>
    <row r="4" spans="1:13" ht="36" customHeight="1" x14ac:dyDescent="0.2">
      <c r="A4" s="50"/>
      <c r="B4" s="33"/>
      <c r="C4" s="62"/>
      <c r="D4" s="63" t="s">
        <v>41</v>
      </c>
      <c r="E4" s="63" t="s">
        <v>42</v>
      </c>
      <c r="F4" s="63" t="s">
        <v>43</v>
      </c>
      <c r="G4" s="64" t="s">
        <v>44</v>
      </c>
      <c r="H4" s="63" t="s">
        <v>45</v>
      </c>
      <c r="I4" s="63" t="s">
        <v>46</v>
      </c>
      <c r="J4" s="63" t="s">
        <v>47</v>
      </c>
      <c r="K4" s="63" t="s">
        <v>48</v>
      </c>
      <c r="L4" s="63" t="s">
        <v>49</v>
      </c>
      <c r="M4" s="63" t="s">
        <v>11</v>
      </c>
    </row>
    <row r="5" spans="1:13" ht="15.75" customHeight="1" x14ac:dyDescent="0.2">
      <c r="A5" s="40" t="s">
        <v>12</v>
      </c>
      <c r="B5" s="41" t="s">
        <v>13</v>
      </c>
      <c r="C5" s="65" t="s">
        <v>50</v>
      </c>
      <c r="D5" s="66">
        <f t="shared" ref="D5:I5" si="0">D8+D9+D10</f>
        <v>447829.60000000003</v>
      </c>
      <c r="E5" s="66">
        <f t="shared" si="0"/>
        <v>473625.59999999998</v>
      </c>
      <c r="F5" s="66">
        <f t="shared" si="0"/>
        <v>511729.69999999995</v>
      </c>
      <c r="G5" s="67">
        <f t="shared" si="0"/>
        <v>523228.00000000006</v>
      </c>
      <c r="H5" s="67">
        <f>H8+H9+H10</f>
        <v>549349</v>
      </c>
      <c r="I5" s="66">
        <f t="shared" si="0"/>
        <v>614389.6</v>
      </c>
      <c r="J5" s="68">
        <f>J8+J9+J10+J7</f>
        <v>617527.69999999995</v>
      </c>
      <c r="K5" s="66">
        <f>K8+K9+K10+K7</f>
        <v>607902.69999999995</v>
      </c>
      <c r="L5" s="66">
        <f>L8+L9+L10+L7</f>
        <v>603093.5</v>
      </c>
      <c r="M5" s="68">
        <f>M8+M9+M10+M7</f>
        <v>4948675.3999999994</v>
      </c>
    </row>
    <row r="6" spans="1:13" ht="15.75" x14ac:dyDescent="0.2">
      <c r="A6" s="42"/>
      <c r="B6" s="43"/>
      <c r="C6" s="69" t="s">
        <v>51</v>
      </c>
      <c r="D6" s="70"/>
      <c r="E6" s="71"/>
      <c r="F6" s="71"/>
      <c r="G6" s="72"/>
      <c r="H6" s="72"/>
      <c r="I6" s="71"/>
      <c r="J6" s="71"/>
      <c r="K6" s="71"/>
      <c r="L6" s="66"/>
      <c r="M6" s="66"/>
    </row>
    <row r="7" spans="1:13" ht="15.75" x14ac:dyDescent="0.2">
      <c r="A7" s="42"/>
      <c r="B7" s="43"/>
      <c r="C7" s="73" t="s">
        <v>52</v>
      </c>
      <c r="D7" s="70"/>
      <c r="E7" s="71"/>
      <c r="F7" s="71"/>
      <c r="G7" s="72"/>
      <c r="H7" s="72"/>
      <c r="I7" s="71"/>
      <c r="J7" s="74">
        <f>J18</f>
        <v>8751.7999999999993</v>
      </c>
      <c r="K7" s="71">
        <f>K18</f>
        <v>22845.599999999999</v>
      </c>
      <c r="L7" s="71">
        <f>L18</f>
        <v>21017.3</v>
      </c>
      <c r="M7" s="71">
        <f>M18</f>
        <v>52614.7</v>
      </c>
    </row>
    <row r="8" spans="1:13" ht="15.75" customHeight="1" x14ac:dyDescent="0.2">
      <c r="A8" s="42"/>
      <c r="B8" s="43"/>
      <c r="C8" s="73" t="s">
        <v>53</v>
      </c>
      <c r="D8" s="66">
        <f t="shared" ref="D8:L10" si="1">D13+D19+D24+D29</f>
        <v>215148.1</v>
      </c>
      <c r="E8" s="66">
        <f t="shared" si="1"/>
        <v>208367.5</v>
      </c>
      <c r="F8" s="66">
        <f t="shared" si="1"/>
        <v>280623.8</v>
      </c>
      <c r="G8" s="67">
        <f t="shared" si="1"/>
        <v>301525.8</v>
      </c>
      <c r="H8" s="67">
        <f t="shared" si="1"/>
        <v>326259.80000000005</v>
      </c>
      <c r="I8" s="66">
        <f t="shared" si="1"/>
        <v>354583.9</v>
      </c>
      <c r="J8" s="68">
        <f t="shared" si="1"/>
        <v>376288.5</v>
      </c>
      <c r="K8" s="66">
        <f t="shared" si="1"/>
        <v>358627.5</v>
      </c>
      <c r="L8" s="66">
        <f t="shared" si="1"/>
        <v>355660.5</v>
      </c>
      <c r="M8" s="66">
        <f t="shared" ref="M8:M31" si="2">SUM(D8:L8)</f>
        <v>2777085.4</v>
      </c>
    </row>
    <row r="9" spans="1:13" ht="15.75" x14ac:dyDescent="0.2">
      <c r="A9" s="42"/>
      <c r="B9" s="43"/>
      <c r="C9" s="73" t="s">
        <v>54</v>
      </c>
      <c r="D9" s="66">
        <f t="shared" si="1"/>
        <v>217161.60000000001</v>
      </c>
      <c r="E9" s="66">
        <f t="shared" si="1"/>
        <v>249957.8</v>
      </c>
      <c r="F9" s="66">
        <f t="shared" si="1"/>
        <v>211534.09999999998</v>
      </c>
      <c r="G9" s="67">
        <f t="shared" si="1"/>
        <v>199302.50000000003</v>
      </c>
      <c r="H9" s="67">
        <f t="shared" si="1"/>
        <v>198036.09999999998</v>
      </c>
      <c r="I9" s="66">
        <f t="shared" si="1"/>
        <v>232969.00000000003</v>
      </c>
      <c r="J9" s="68">
        <f t="shared" si="1"/>
        <v>203226.19999999998</v>
      </c>
      <c r="K9" s="66">
        <f t="shared" si="1"/>
        <v>200590.4</v>
      </c>
      <c r="L9" s="66">
        <f t="shared" si="1"/>
        <v>200576.5</v>
      </c>
      <c r="M9" s="66">
        <f t="shared" si="2"/>
        <v>1913354.2</v>
      </c>
    </row>
    <row r="10" spans="1:13" ht="15" customHeight="1" x14ac:dyDescent="0.2">
      <c r="A10" s="75"/>
      <c r="B10" s="44"/>
      <c r="C10" s="73" t="s">
        <v>55</v>
      </c>
      <c r="D10" s="66">
        <f t="shared" si="1"/>
        <v>15519.9</v>
      </c>
      <c r="E10" s="66">
        <f t="shared" si="1"/>
        <v>15300.3</v>
      </c>
      <c r="F10" s="66">
        <f t="shared" si="1"/>
        <v>19571.8</v>
      </c>
      <c r="G10" s="67">
        <f t="shared" si="1"/>
        <v>22399.7</v>
      </c>
      <c r="H10" s="67">
        <f t="shared" si="1"/>
        <v>25053.100000000002</v>
      </c>
      <c r="I10" s="66">
        <f t="shared" si="1"/>
        <v>26836.7</v>
      </c>
      <c r="J10" s="66">
        <f t="shared" si="1"/>
        <v>29261.200000000001</v>
      </c>
      <c r="K10" s="66">
        <f t="shared" si="1"/>
        <v>25839.200000000001</v>
      </c>
      <c r="L10" s="66">
        <f>K10</f>
        <v>25839.200000000001</v>
      </c>
      <c r="M10" s="66">
        <f t="shared" si="2"/>
        <v>205621.10000000003</v>
      </c>
    </row>
    <row r="11" spans="1:13" ht="15.75" customHeight="1" x14ac:dyDescent="0.2">
      <c r="A11" s="40" t="s">
        <v>56</v>
      </c>
      <c r="B11" s="41" t="s">
        <v>24</v>
      </c>
      <c r="C11" s="65" t="s">
        <v>50</v>
      </c>
      <c r="D11" s="66">
        <f t="shared" ref="D11:J11" si="3">D13+D14+D15</f>
        <v>198091.59999999998</v>
      </c>
      <c r="E11" s="66">
        <f t="shared" si="3"/>
        <v>204824.59999999998</v>
      </c>
      <c r="F11" s="66">
        <f t="shared" si="3"/>
        <v>219030.5</v>
      </c>
      <c r="G11" s="67">
        <f t="shared" si="3"/>
        <v>218633.1</v>
      </c>
      <c r="H11" s="67">
        <f t="shared" si="3"/>
        <v>229336.9</v>
      </c>
      <c r="I11" s="66">
        <f t="shared" si="3"/>
        <v>267495.40000000002</v>
      </c>
      <c r="J11" s="68">
        <f t="shared" si="3"/>
        <v>279520</v>
      </c>
      <c r="K11" s="66">
        <f>K13+K14+K15</f>
        <v>270838.39999999997</v>
      </c>
      <c r="L11" s="66">
        <f>K11</f>
        <v>270838.39999999997</v>
      </c>
      <c r="M11" s="68">
        <f t="shared" si="2"/>
        <v>2158608.9</v>
      </c>
    </row>
    <row r="12" spans="1:13" ht="15.75" x14ac:dyDescent="0.2">
      <c r="A12" s="42"/>
      <c r="B12" s="43"/>
      <c r="C12" s="69" t="s">
        <v>51</v>
      </c>
      <c r="D12" s="70"/>
      <c r="E12" s="66"/>
      <c r="F12" s="71"/>
      <c r="G12" s="72"/>
      <c r="H12" s="72"/>
      <c r="I12" s="71"/>
      <c r="J12" s="71"/>
      <c r="K12" s="71"/>
      <c r="L12" s="66">
        <f>K12</f>
        <v>0</v>
      </c>
      <c r="M12" s="66">
        <f t="shared" si="2"/>
        <v>0</v>
      </c>
    </row>
    <row r="13" spans="1:13" ht="15.75" x14ac:dyDescent="0.2">
      <c r="A13" s="42"/>
      <c r="B13" s="43"/>
      <c r="C13" s="76" t="s">
        <v>57</v>
      </c>
      <c r="D13" s="77">
        <v>92552.9</v>
      </c>
      <c r="E13" s="66">
        <v>81485.8</v>
      </c>
      <c r="F13" s="71">
        <v>116158.7</v>
      </c>
      <c r="G13" s="72">
        <v>122752.3</v>
      </c>
      <c r="H13" s="72">
        <v>129296.8</v>
      </c>
      <c r="I13" s="71">
        <v>147632</v>
      </c>
      <c r="J13" s="71">
        <v>168614.1</v>
      </c>
      <c r="K13" s="71">
        <v>159606.79999999999</v>
      </c>
      <c r="L13" s="71">
        <v>159606.79999999999</v>
      </c>
      <c r="M13" s="66">
        <f t="shared" si="2"/>
        <v>1177706.2</v>
      </c>
    </row>
    <row r="14" spans="1:13" ht="15.75" x14ac:dyDescent="0.2">
      <c r="A14" s="42"/>
      <c r="B14" s="43"/>
      <c r="C14" s="76" t="s">
        <v>58</v>
      </c>
      <c r="D14" s="77">
        <v>92376.4</v>
      </c>
      <c r="E14" s="66">
        <v>110895</v>
      </c>
      <c r="F14" s="66">
        <v>86284.2</v>
      </c>
      <c r="G14" s="67">
        <v>76465.3</v>
      </c>
      <c r="H14" s="67">
        <v>78788.7</v>
      </c>
      <c r="I14" s="66">
        <v>99489.9</v>
      </c>
      <c r="J14" s="66">
        <v>88795.199999999997</v>
      </c>
      <c r="K14" s="66">
        <v>88831.4</v>
      </c>
      <c r="L14" s="66">
        <v>88831.3</v>
      </c>
      <c r="M14" s="66">
        <f t="shared" si="2"/>
        <v>810757.4</v>
      </c>
    </row>
    <row r="15" spans="1:13" ht="31.5" x14ac:dyDescent="0.2">
      <c r="A15" s="75"/>
      <c r="B15" s="44"/>
      <c r="C15" s="76" t="s">
        <v>59</v>
      </c>
      <c r="D15" s="77">
        <v>13162.3</v>
      </c>
      <c r="E15" s="66">
        <v>12443.8</v>
      </c>
      <c r="F15" s="71">
        <v>16587.599999999999</v>
      </c>
      <c r="G15" s="72">
        <v>19415.5</v>
      </c>
      <c r="H15" s="72">
        <v>21251.4</v>
      </c>
      <c r="I15" s="71">
        <v>20373.5</v>
      </c>
      <c r="J15" s="71">
        <v>22110.7</v>
      </c>
      <c r="K15" s="71">
        <v>22400.2</v>
      </c>
      <c r="L15" s="71">
        <v>22400.2</v>
      </c>
      <c r="M15" s="66">
        <f t="shared" si="2"/>
        <v>170145.2</v>
      </c>
    </row>
    <row r="16" spans="1:13" ht="15.75" customHeight="1" x14ac:dyDescent="0.2">
      <c r="A16" s="40" t="s">
        <v>60</v>
      </c>
      <c r="B16" s="41" t="s">
        <v>28</v>
      </c>
      <c r="C16" s="65" t="s">
        <v>50</v>
      </c>
      <c r="D16" s="66">
        <f t="shared" ref="D16:I16" si="4">D19+D20+D21</f>
        <v>214621.9</v>
      </c>
      <c r="E16" s="66">
        <f t="shared" si="4"/>
        <v>231479.09999999998</v>
      </c>
      <c r="F16" s="66">
        <f t="shared" si="4"/>
        <v>252889.59999999998</v>
      </c>
      <c r="G16" s="67">
        <f t="shared" si="4"/>
        <v>262736.60000000003</v>
      </c>
      <c r="H16" s="67">
        <f t="shared" si="4"/>
        <v>275850</v>
      </c>
      <c r="I16" s="66">
        <f t="shared" si="4"/>
        <v>294091.2</v>
      </c>
      <c r="J16" s="68">
        <f>J19+J20+J21+J18</f>
        <v>286491.5</v>
      </c>
      <c r="K16" s="66">
        <f>K19+K20+K21+K18</f>
        <v>283515.89999999997</v>
      </c>
      <c r="L16" s="66">
        <f>L19+L20+L21+L18</f>
        <v>281762.8</v>
      </c>
      <c r="M16" s="68">
        <f>M19+M20+M21+M18</f>
        <v>2383438.6</v>
      </c>
    </row>
    <row r="17" spans="1:14" ht="15.75" x14ac:dyDescent="0.2">
      <c r="A17" s="42"/>
      <c r="B17" s="43"/>
      <c r="C17" s="69" t="s">
        <v>51</v>
      </c>
      <c r="D17" s="70"/>
      <c r="E17" s="71"/>
      <c r="F17" s="71"/>
      <c r="G17" s="72"/>
      <c r="H17" s="72"/>
      <c r="I17" s="71"/>
      <c r="J17" s="71"/>
      <c r="K17" s="71"/>
      <c r="L17" s="66">
        <f>K17</f>
        <v>0</v>
      </c>
      <c r="M17" s="66">
        <f t="shared" si="2"/>
        <v>0</v>
      </c>
    </row>
    <row r="18" spans="1:14" ht="15.75" x14ac:dyDescent="0.2">
      <c r="A18" s="42"/>
      <c r="B18" s="43"/>
      <c r="C18" s="73" t="s">
        <v>52</v>
      </c>
      <c r="D18" s="70"/>
      <c r="E18" s="71"/>
      <c r="F18" s="71"/>
      <c r="G18" s="72"/>
      <c r="H18" s="72"/>
      <c r="I18" s="71"/>
      <c r="J18" s="71">
        <f>2668.9+6082.9</f>
        <v>8751.7999999999993</v>
      </c>
      <c r="K18" s="71">
        <f>928.3+3668.6+18248.7</f>
        <v>22845.599999999999</v>
      </c>
      <c r="L18" s="66">
        <f>967+1801.6+18248.7</f>
        <v>21017.3</v>
      </c>
      <c r="M18" s="66">
        <f>SUM(J18:L18)</f>
        <v>52614.7</v>
      </c>
    </row>
    <row r="19" spans="1:14" ht="15.75" x14ac:dyDescent="0.2">
      <c r="A19" s="42"/>
      <c r="B19" s="43"/>
      <c r="C19" s="65" t="s">
        <v>61</v>
      </c>
      <c r="D19" s="77">
        <v>109406.9</v>
      </c>
      <c r="E19" s="66">
        <v>113565.8</v>
      </c>
      <c r="F19" s="71">
        <v>149314.1</v>
      </c>
      <c r="G19" s="72">
        <v>163921.20000000001</v>
      </c>
      <c r="H19" s="72">
        <v>178896.1</v>
      </c>
      <c r="I19" s="71">
        <v>189252.9</v>
      </c>
      <c r="J19" s="71">
        <v>196654.5</v>
      </c>
      <c r="K19" s="71">
        <v>184552.3</v>
      </c>
      <c r="L19" s="66">
        <v>184641.3</v>
      </c>
      <c r="M19" s="66">
        <f t="shared" si="2"/>
        <v>1470205.1</v>
      </c>
    </row>
    <row r="20" spans="1:14" ht="15.75" x14ac:dyDescent="0.2">
      <c r="A20" s="42"/>
      <c r="B20" s="43"/>
      <c r="C20" s="65" t="s">
        <v>62</v>
      </c>
      <c r="D20" s="77">
        <v>103390.39999999999</v>
      </c>
      <c r="E20" s="66">
        <v>115762</v>
      </c>
      <c r="F20" s="66">
        <v>101282.7</v>
      </c>
      <c r="G20" s="67">
        <v>96522.6</v>
      </c>
      <c r="H20" s="67">
        <v>93843.6</v>
      </c>
      <c r="I20" s="66">
        <v>99156.3</v>
      </c>
      <c r="J20" s="66">
        <v>73934.7</v>
      </c>
      <c r="K20" s="66">
        <v>72679</v>
      </c>
      <c r="L20" s="66">
        <v>72665.2</v>
      </c>
      <c r="M20" s="66">
        <f t="shared" si="2"/>
        <v>829236.49999999988</v>
      </c>
    </row>
    <row r="21" spans="1:14" ht="15.75" x14ac:dyDescent="0.2">
      <c r="A21" s="75"/>
      <c r="B21" s="44"/>
      <c r="C21" s="65" t="s">
        <v>63</v>
      </c>
      <c r="D21" s="77">
        <v>1824.6</v>
      </c>
      <c r="E21" s="66">
        <v>2151.3000000000002</v>
      </c>
      <c r="F21" s="71">
        <v>2292.8000000000002</v>
      </c>
      <c r="G21" s="72">
        <v>2292.8000000000002</v>
      </c>
      <c r="H21" s="72">
        <v>3110.3</v>
      </c>
      <c r="I21" s="71">
        <v>5682</v>
      </c>
      <c r="J21" s="71">
        <v>7150.5</v>
      </c>
      <c r="K21" s="71">
        <v>3439</v>
      </c>
      <c r="L21" s="66">
        <v>3439</v>
      </c>
      <c r="M21" s="66">
        <f t="shared" si="2"/>
        <v>31382.3</v>
      </c>
    </row>
    <row r="22" spans="1:14" ht="15.75" customHeight="1" x14ac:dyDescent="0.2">
      <c r="A22" s="40" t="s">
        <v>29</v>
      </c>
      <c r="B22" s="41" t="s">
        <v>30</v>
      </c>
      <c r="C22" s="65" t="s">
        <v>50</v>
      </c>
      <c r="D22" s="66">
        <f t="shared" ref="D22:I22" si="5">D24+D25+D26</f>
        <v>6990.7000000000007</v>
      </c>
      <c r="E22" s="66">
        <f t="shared" si="5"/>
        <v>7764.9</v>
      </c>
      <c r="F22" s="66">
        <f t="shared" si="5"/>
        <v>7414.4</v>
      </c>
      <c r="G22" s="67">
        <f t="shared" si="5"/>
        <v>8058.2999999999993</v>
      </c>
      <c r="H22" s="67">
        <f>H24+H25+H26</f>
        <v>7980.7999999999993</v>
      </c>
      <c r="I22" s="66">
        <f t="shared" si="5"/>
        <v>8394.1</v>
      </c>
      <c r="J22" s="68">
        <f>J24+J25+J26</f>
        <v>9585.7000000000007</v>
      </c>
      <c r="K22" s="66">
        <f>K24+K25+K26</f>
        <v>7628.7999999999993</v>
      </c>
      <c r="L22" s="66">
        <f>K22</f>
        <v>7628.7999999999993</v>
      </c>
      <c r="M22" s="68">
        <f t="shared" si="2"/>
        <v>71446.5</v>
      </c>
    </row>
    <row r="23" spans="1:14" ht="15.75" x14ac:dyDescent="0.2">
      <c r="A23" s="42"/>
      <c r="B23" s="43"/>
      <c r="C23" s="69" t="s">
        <v>51</v>
      </c>
      <c r="D23" s="77"/>
      <c r="E23" s="66"/>
      <c r="F23" s="71"/>
      <c r="G23" s="72"/>
      <c r="H23" s="72"/>
      <c r="I23" s="71"/>
      <c r="J23" s="71"/>
      <c r="K23" s="71"/>
      <c r="L23" s="66">
        <f>K23</f>
        <v>0</v>
      </c>
      <c r="M23" s="66">
        <f t="shared" si="2"/>
        <v>0</v>
      </c>
    </row>
    <row r="24" spans="1:14" ht="15.75" x14ac:dyDescent="0.2">
      <c r="A24" s="42"/>
      <c r="B24" s="43"/>
      <c r="C24" s="73" t="s">
        <v>53</v>
      </c>
      <c r="D24" s="77">
        <v>4599.6000000000004</v>
      </c>
      <c r="E24" s="66">
        <v>4788.3999999999996</v>
      </c>
      <c r="F24" s="71">
        <v>4560.6000000000004</v>
      </c>
      <c r="G24" s="72">
        <v>4565.7</v>
      </c>
      <c r="H24" s="72">
        <v>5116.3999999999996</v>
      </c>
      <c r="I24" s="71">
        <v>5258.7</v>
      </c>
      <c r="J24" s="71">
        <v>6793.9</v>
      </c>
      <c r="K24" s="71">
        <v>5927.4</v>
      </c>
      <c r="L24" s="71">
        <v>5927.4</v>
      </c>
      <c r="M24" s="66">
        <f t="shared" si="2"/>
        <v>47538.1</v>
      </c>
    </row>
    <row r="25" spans="1:14" ht="15.75" x14ac:dyDescent="0.2">
      <c r="A25" s="42"/>
      <c r="B25" s="43"/>
      <c r="C25" s="73" t="s">
        <v>54</v>
      </c>
      <c r="D25" s="77">
        <v>1858.1</v>
      </c>
      <c r="E25" s="66">
        <v>2271.3000000000002</v>
      </c>
      <c r="F25" s="66">
        <v>2162.4</v>
      </c>
      <c r="G25" s="67">
        <v>2801.2</v>
      </c>
      <c r="H25" s="67">
        <v>2173</v>
      </c>
      <c r="I25" s="66">
        <v>2354.1999999999998</v>
      </c>
      <c r="J25" s="66">
        <v>2791.8</v>
      </c>
      <c r="K25" s="66">
        <v>1701.4</v>
      </c>
      <c r="L25" s="66">
        <f>K25</f>
        <v>1701.4</v>
      </c>
      <c r="M25" s="66">
        <f t="shared" si="2"/>
        <v>19814.800000000003</v>
      </c>
    </row>
    <row r="26" spans="1:14" ht="31.5" x14ac:dyDescent="0.2">
      <c r="A26" s="75"/>
      <c r="B26" s="44"/>
      <c r="C26" s="73" t="s">
        <v>55</v>
      </c>
      <c r="D26" s="77">
        <v>533</v>
      </c>
      <c r="E26" s="66">
        <v>705.2</v>
      </c>
      <c r="F26" s="71">
        <v>691.4</v>
      </c>
      <c r="G26" s="72">
        <v>691.4</v>
      </c>
      <c r="H26" s="72">
        <v>691.4</v>
      </c>
      <c r="I26" s="71">
        <v>781.2</v>
      </c>
      <c r="J26" s="71">
        <v>0</v>
      </c>
      <c r="K26" s="71">
        <v>0</v>
      </c>
      <c r="L26" s="71">
        <v>0</v>
      </c>
      <c r="M26" s="66">
        <f t="shared" si="2"/>
        <v>4093.6000000000004</v>
      </c>
    </row>
    <row r="27" spans="1:14" ht="15.75" customHeight="1" x14ac:dyDescent="0.2">
      <c r="A27" s="40" t="s">
        <v>31</v>
      </c>
      <c r="B27" s="41" t="s">
        <v>32</v>
      </c>
      <c r="C27" s="65" t="s">
        <v>50</v>
      </c>
      <c r="D27" s="66">
        <f t="shared" ref="D27:I27" si="6">D29+D30+D31</f>
        <v>28125.4</v>
      </c>
      <c r="E27" s="66">
        <f t="shared" si="6"/>
        <v>29557</v>
      </c>
      <c r="F27" s="66">
        <f t="shared" si="6"/>
        <v>32395.199999999997</v>
      </c>
      <c r="G27" s="67">
        <f t="shared" si="6"/>
        <v>33800</v>
      </c>
      <c r="H27" s="67">
        <f t="shared" si="6"/>
        <v>36181.300000000003</v>
      </c>
      <c r="I27" s="66">
        <f t="shared" si="6"/>
        <v>44408.899999999994</v>
      </c>
      <c r="J27" s="68">
        <f>J29+J30+J31</f>
        <v>41930.5</v>
      </c>
      <c r="K27" s="66">
        <f>K29+K30+K31</f>
        <v>45919.6</v>
      </c>
      <c r="L27" s="66">
        <f>L28+L29+L30</f>
        <v>42863.6</v>
      </c>
      <c r="M27" s="68">
        <f t="shared" si="2"/>
        <v>335181.5</v>
      </c>
    </row>
    <row r="28" spans="1:14" ht="15.75" x14ac:dyDescent="0.2">
      <c r="A28" s="42"/>
      <c r="B28" s="43"/>
      <c r="C28" s="69" t="s">
        <v>51</v>
      </c>
      <c r="D28" s="77"/>
      <c r="E28" s="66"/>
      <c r="F28" s="71"/>
      <c r="G28" s="72"/>
      <c r="H28" s="72"/>
      <c r="I28" s="71"/>
      <c r="J28" s="71"/>
      <c r="K28" s="71"/>
      <c r="L28" s="66">
        <f>K28</f>
        <v>0</v>
      </c>
      <c r="M28" s="66">
        <f t="shared" si="2"/>
        <v>0</v>
      </c>
    </row>
    <row r="29" spans="1:14" ht="15.75" x14ac:dyDescent="0.2">
      <c r="A29" s="42"/>
      <c r="B29" s="43"/>
      <c r="C29" s="73" t="s">
        <v>53</v>
      </c>
      <c r="D29" s="77">
        <v>8588.7000000000007</v>
      </c>
      <c r="E29" s="66">
        <v>8527.5</v>
      </c>
      <c r="F29" s="71">
        <v>10590.4</v>
      </c>
      <c r="G29" s="72">
        <v>10286.6</v>
      </c>
      <c r="H29" s="72">
        <v>12950.5</v>
      </c>
      <c r="I29" s="71">
        <v>12440.3</v>
      </c>
      <c r="J29" s="71">
        <v>4226</v>
      </c>
      <c r="K29" s="71">
        <v>8541</v>
      </c>
      <c r="L29" s="66">
        <v>5485</v>
      </c>
      <c r="M29" s="66">
        <f t="shared" si="2"/>
        <v>81636</v>
      </c>
    </row>
    <row r="30" spans="1:14" ht="15.75" x14ac:dyDescent="0.2">
      <c r="A30" s="42"/>
      <c r="B30" s="43"/>
      <c r="C30" s="73" t="s">
        <v>54</v>
      </c>
      <c r="D30" s="77">
        <v>19536.7</v>
      </c>
      <c r="E30" s="66">
        <v>21029.5</v>
      </c>
      <c r="F30" s="66">
        <v>21804.799999999999</v>
      </c>
      <c r="G30" s="67">
        <v>23513.4</v>
      </c>
      <c r="H30" s="67">
        <v>23230.799999999999</v>
      </c>
      <c r="I30" s="66">
        <v>31968.6</v>
      </c>
      <c r="J30" s="66">
        <v>37704.5</v>
      </c>
      <c r="K30" s="66">
        <v>37378.6</v>
      </c>
      <c r="L30" s="66">
        <f>K30</f>
        <v>37378.6</v>
      </c>
      <c r="M30" s="66">
        <f t="shared" si="2"/>
        <v>253545.5</v>
      </c>
    </row>
    <row r="31" spans="1:14" ht="15" customHeight="1" x14ac:dyDescent="0.2">
      <c r="A31" s="75"/>
      <c r="B31" s="44"/>
      <c r="C31" s="73" t="s">
        <v>55</v>
      </c>
      <c r="D31" s="77">
        <v>0</v>
      </c>
      <c r="E31" s="66">
        <v>0</v>
      </c>
      <c r="F31" s="71">
        <v>0</v>
      </c>
      <c r="G31" s="72">
        <v>0</v>
      </c>
      <c r="H31" s="72">
        <v>0</v>
      </c>
      <c r="I31" s="71">
        <v>0</v>
      </c>
      <c r="J31" s="71">
        <v>0</v>
      </c>
      <c r="K31" s="71">
        <v>0</v>
      </c>
      <c r="L31" s="66">
        <f>K31</f>
        <v>0</v>
      </c>
      <c r="M31" s="66">
        <f t="shared" si="2"/>
        <v>0</v>
      </c>
    </row>
    <row r="32" spans="1:14" s="53" customFormat="1" ht="30.75" customHeight="1" x14ac:dyDescent="0.25">
      <c r="A32" s="78" t="s">
        <v>33</v>
      </c>
      <c r="B32" s="78"/>
      <c r="C32" s="79"/>
      <c r="D32" s="79"/>
      <c r="E32" s="80"/>
      <c r="F32" s="81"/>
      <c r="G32" s="82" t="s">
        <v>34</v>
      </c>
      <c r="H32" s="82"/>
      <c r="I32" s="82"/>
      <c r="J32" s="82"/>
      <c r="K32" s="82"/>
      <c r="L32" s="82"/>
      <c r="M32" s="82"/>
      <c r="N32" s="83"/>
    </row>
    <row r="137" spans="16:16" ht="105" customHeight="1" x14ac:dyDescent="0.25">
      <c r="P137" s="53"/>
    </row>
  </sheetData>
  <mergeCells count="17">
    <mergeCell ref="A22:A26"/>
    <mergeCell ref="B22:B26"/>
    <mergeCell ref="A27:A31"/>
    <mergeCell ref="B27:B31"/>
    <mergeCell ref="G32:M32"/>
    <mergeCell ref="A5:A10"/>
    <mergeCell ref="B5:B10"/>
    <mergeCell ref="A11:A15"/>
    <mergeCell ref="B11:B15"/>
    <mergeCell ref="A16:A21"/>
    <mergeCell ref="B16:B21"/>
    <mergeCell ref="I1:M1"/>
    <mergeCell ref="A2:M2"/>
    <mergeCell ref="A3:A4"/>
    <mergeCell ref="B3:B4"/>
    <mergeCell ref="C3:C4"/>
    <mergeCell ref="D3:M3"/>
  </mergeCells>
  <printOptions horizontalCentered="1"/>
  <pageMargins left="0.15748031496062992" right="0.15748031496062992" top="0.78740157480314965" bottom="0" header="0.31496062992125984" footer="0.31496062992125984"/>
  <pageSetup paperSize="9" scale="63" orientation="landscape" useFirstPageNumber="1" r:id="rId1"/>
  <headerFooter differentFirst="1">
    <oddHeader>&amp;C&amp;P</oddHeader>
  </headerFooter>
  <rowBreaks count="1" manualBreakCount="1">
    <brk id="21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Q35"/>
  <sheetViews>
    <sheetView view="pageBreakPreview" zoomScaleNormal="100" zoomScaleSheetLayoutView="100" workbookViewId="0">
      <selection activeCell="C16" sqref="C16"/>
    </sheetView>
  </sheetViews>
  <sheetFormatPr defaultRowHeight="15.75" x14ac:dyDescent="0.25"/>
  <cols>
    <col min="1" max="1" width="46.42578125" style="1" customWidth="1"/>
    <col min="2" max="2" width="9.140625" style="1" customWidth="1"/>
    <col min="3" max="8" width="9.140625" style="1"/>
    <col min="9" max="9" width="10.28515625" style="1" customWidth="1"/>
    <col min="10" max="10" width="9.5703125" style="1" bestFit="1" customWidth="1"/>
    <col min="11" max="11" width="10.140625" style="1" customWidth="1"/>
    <col min="12" max="12" width="10.7109375" style="1" bestFit="1" customWidth="1"/>
    <col min="13" max="13" width="10.7109375" style="1" customWidth="1"/>
    <col min="14" max="14" width="10.7109375" style="53" customWidth="1"/>
    <col min="15" max="15" width="10.7109375" style="81" bestFit="1" customWidth="1"/>
    <col min="16" max="16" width="10.7109375" style="1" customWidth="1"/>
    <col min="17" max="17" width="11" style="1" customWidth="1"/>
    <col min="18" max="16384" width="9.140625" style="1"/>
  </cols>
  <sheetData>
    <row r="1" spans="1:17" ht="71.25" customHeight="1" x14ac:dyDescent="0.25">
      <c r="I1" s="84" t="s">
        <v>64</v>
      </c>
      <c r="J1" s="84"/>
      <c r="K1" s="84"/>
      <c r="L1" s="84"/>
      <c r="M1" s="84"/>
      <c r="N1" s="84"/>
      <c r="O1" s="84"/>
      <c r="P1" s="84"/>
    </row>
    <row r="2" spans="1:17" s="85" customFormat="1" ht="34.5" customHeight="1" x14ac:dyDescent="0.2">
      <c r="A2" s="6" t="s">
        <v>65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7" ht="35.25" customHeight="1" x14ac:dyDescent="0.25">
      <c r="A3" s="7" t="s">
        <v>66</v>
      </c>
      <c r="B3" s="7" t="s">
        <v>67</v>
      </c>
      <c r="C3" s="7"/>
      <c r="D3" s="7"/>
      <c r="E3" s="7"/>
      <c r="F3" s="7"/>
      <c r="G3" s="7"/>
      <c r="H3" s="7"/>
      <c r="I3" s="86" t="s">
        <v>68</v>
      </c>
      <c r="J3" s="87"/>
      <c r="K3" s="87"/>
      <c r="L3" s="87"/>
      <c r="M3" s="87"/>
      <c r="N3" s="87"/>
      <c r="O3" s="87"/>
      <c r="P3" s="87"/>
      <c r="Q3" s="87"/>
    </row>
    <row r="4" spans="1:17" ht="31.5" x14ac:dyDescent="0.25">
      <c r="A4" s="7"/>
      <c r="B4" s="12" t="s">
        <v>41</v>
      </c>
      <c r="C4" s="11" t="s">
        <v>42</v>
      </c>
      <c r="D4" s="11" t="s">
        <v>43</v>
      </c>
      <c r="E4" s="11" t="s">
        <v>44</v>
      </c>
      <c r="F4" s="11" t="s">
        <v>45</v>
      </c>
      <c r="G4" s="11" t="s">
        <v>46</v>
      </c>
      <c r="H4" s="11" t="s">
        <v>47</v>
      </c>
      <c r="I4" s="12" t="s">
        <v>41</v>
      </c>
      <c r="J4" s="11" t="s">
        <v>42</v>
      </c>
      <c r="K4" s="11" t="s">
        <v>43</v>
      </c>
      <c r="L4" s="11" t="s">
        <v>44</v>
      </c>
      <c r="M4" s="11" t="s">
        <v>45</v>
      </c>
      <c r="N4" s="12" t="s">
        <v>46</v>
      </c>
      <c r="O4" s="88" t="s">
        <v>47</v>
      </c>
      <c r="P4" s="11" t="s">
        <v>48</v>
      </c>
      <c r="Q4" s="88" t="s">
        <v>49</v>
      </c>
    </row>
    <row r="5" spans="1:17" x14ac:dyDescent="0.25">
      <c r="A5" s="89" t="s">
        <v>69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1"/>
    </row>
    <row r="6" spans="1:17" x14ac:dyDescent="0.25">
      <c r="A6" s="21" t="s">
        <v>70</v>
      </c>
      <c r="B6" s="92" t="s">
        <v>71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4"/>
    </row>
    <row r="7" spans="1:17" x14ac:dyDescent="0.25">
      <c r="A7" s="95" t="s">
        <v>72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1:17" ht="31.5" x14ac:dyDescent="0.25">
      <c r="A8" s="98" t="s">
        <v>73</v>
      </c>
      <c r="B8" s="36">
        <v>1264</v>
      </c>
      <c r="C8" s="36">
        <v>1687</v>
      </c>
      <c r="D8" s="36">
        <v>1731</v>
      </c>
      <c r="E8" s="36">
        <v>1673</v>
      </c>
      <c r="F8" s="36">
        <v>1753</v>
      </c>
      <c r="G8" s="36">
        <v>1753</v>
      </c>
      <c r="H8" s="36">
        <v>1741</v>
      </c>
      <c r="I8" s="99">
        <v>110039.9</v>
      </c>
      <c r="J8" s="36">
        <v>115982.1</v>
      </c>
      <c r="K8" s="99">
        <v>189224.3</v>
      </c>
      <c r="L8" s="99">
        <f>165397.3+24524.8</f>
        <v>189922.09999999998</v>
      </c>
      <c r="M8" s="99">
        <v>229336.9</v>
      </c>
      <c r="N8" s="99">
        <v>267495.40000000002</v>
      </c>
      <c r="O8" s="100">
        <v>279520</v>
      </c>
      <c r="P8" s="99">
        <v>270838.40000000002</v>
      </c>
      <c r="Q8" s="99">
        <v>270838.40000000002</v>
      </c>
    </row>
    <row r="9" spans="1:17" x14ac:dyDescent="0.25">
      <c r="A9" s="101" t="s">
        <v>74</v>
      </c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3"/>
      <c r="Q9" s="81"/>
    </row>
    <row r="10" spans="1:17" x14ac:dyDescent="0.25">
      <c r="A10" s="39" t="s">
        <v>70</v>
      </c>
      <c r="B10" s="104" t="s">
        <v>75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6"/>
      <c r="Q10" s="81"/>
    </row>
    <row r="11" spans="1:17" x14ac:dyDescent="0.25">
      <c r="A11" s="107" t="s">
        <v>76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9"/>
      <c r="Q11" s="81"/>
    </row>
    <row r="12" spans="1:17" ht="31.5" x14ac:dyDescent="0.25">
      <c r="A12" s="98" t="s">
        <v>73</v>
      </c>
      <c r="B12" s="36">
        <v>1265</v>
      </c>
      <c r="C12" s="36">
        <v>1233</v>
      </c>
      <c r="D12" s="36">
        <v>1194</v>
      </c>
      <c r="E12" s="36">
        <v>1267</v>
      </c>
      <c r="F12" s="36">
        <v>1351</v>
      </c>
      <c r="G12" s="36">
        <v>1351</v>
      </c>
      <c r="H12" s="36">
        <v>1409</v>
      </c>
      <c r="I12" s="36">
        <v>58719.245999999999</v>
      </c>
      <c r="J12" s="36">
        <v>61890.1</v>
      </c>
      <c r="K12" s="99">
        <v>56463.8</v>
      </c>
      <c r="L12" s="99">
        <v>108873.3</v>
      </c>
      <c r="M12" s="99">
        <f>70.55*F12</f>
        <v>95313.05</v>
      </c>
      <c r="N12" s="99">
        <f>82.468081*1351</f>
        <v>111414.377431</v>
      </c>
      <c r="O12" s="100">
        <f>77.7126812712*H12</f>
        <v>109497.16791112079</v>
      </c>
      <c r="P12" s="99">
        <f>77.5401727861*H12</f>
        <v>109254.1034556149</v>
      </c>
      <c r="Q12" s="99">
        <f>76.9992594878*H12</f>
        <v>108491.9566183102</v>
      </c>
    </row>
    <row r="13" spans="1:17" x14ac:dyDescent="0.25">
      <c r="A13" s="101" t="s">
        <v>77</v>
      </c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3"/>
      <c r="Q13" s="81"/>
    </row>
    <row r="14" spans="1:17" x14ac:dyDescent="0.25">
      <c r="A14" s="39" t="s">
        <v>70</v>
      </c>
      <c r="B14" s="104" t="s">
        <v>78</v>
      </c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6"/>
      <c r="Q14" s="81"/>
    </row>
    <row r="15" spans="1:17" x14ac:dyDescent="0.25">
      <c r="A15" s="107" t="s">
        <v>76</v>
      </c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9"/>
      <c r="Q15" s="81"/>
    </row>
    <row r="16" spans="1:17" ht="31.5" x14ac:dyDescent="0.25">
      <c r="A16" s="98" t="s">
        <v>73</v>
      </c>
      <c r="B16" s="88">
        <v>1284</v>
      </c>
      <c r="C16" s="88">
        <v>1377</v>
      </c>
      <c r="D16" s="88">
        <v>1433</v>
      </c>
      <c r="E16" s="88">
        <v>1086</v>
      </c>
      <c r="F16" s="88">
        <v>1419</v>
      </c>
      <c r="G16" s="88">
        <v>1419</v>
      </c>
      <c r="H16" s="88">
        <v>1450</v>
      </c>
      <c r="I16" s="99">
        <v>59652</v>
      </c>
      <c r="J16" s="36">
        <v>62873.2</v>
      </c>
      <c r="K16" s="36">
        <v>82739.399999999994</v>
      </c>
      <c r="L16" s="99">
        <v>93320</v>
      </c>
      <c r="M16" s="99">
        <f>70.55*F16</f>
        <v>100110.45</v>
      </c>
      <c r="N16" s="99">
        <f>82.468081*1419</f>
        <v>117022.206939</v>
      </c>
      <c r="O16" s="110">
        <f>77.7126812712*H16</f>
        <v>112683.38784323999</v>
      </c>
      <c r="P16" s="36">
        <f>77.5401727861*H16</f>
        <v>112433.250539845</v>
      </c>
      <c r="Q16" s="36">
        <f>76.9992594878*H16</f>
        <v>111648.92625731</v>
      </c>
    </row>
    <row r="17" spans="1:17" x14ac:dyDescent="0.25">
      <c r="A17" s="101" t="s">
        <v>79</v>
      </c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3"/>
      <c r="Q17" s="81"/>
    </row>
    <row r="18" spans="1:17" x14ac:dyDescent="0.25">
      <c r="A18" s="39" t="s">
        <v>70</v>
      </c>
      <c r="B18" s="104" t="s">
        <v>80</v>
      </c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6"/>
      <c r="Q18" s="111"/>
    </row>
    <row r="19" spans="1:17" x14ac:dyDescent="0.25">
      <c r="A19" s="107" t="s">
        <v>76</v>
      </c>
      <c r="B19" s="108">
        <v>338</v>
      </c>
      <c r="C19" s="108">
        <v>309</v>
      </c>
      <c r="D19" s="108">
        <v>277</v>
      </c>
      <c r="E19" s="108">
        <v>270</v>
      </c>
      <c r="F19" s="108">
        <v>388</v>
      </c>
      <c r="G19" s="108">
        <v>388</v>
      </c>
      <c r="H19" s="108">
        <v>388</v>
      </c>
      <c r="I19" s="108">
        <v>14085.156999999999</v>
      </c>
      <c r="J19" s="108">
        <v>14845.7</v>
      </c>
      <c r="K19" s="108">
        <v>16243.5</v>
      </c>
      <c r="L19" s="108">
        <f>23201.1-13.98</f>
        <v>23187.119999999999</v>
      </c>
      <c r="M19" s="108">
        <f>70.55*F19-3.5</f>
        <v>27369.899999999998</v>
      </c>
      <c r="N19" s="108">
        <f>66.55*G19+49.5</f>
        <v>25870.899999999998</v>
      </c>
      <c r="O19" s="108">
        <f>N19</f>
        <v>25870.899999999998</v>
      </c>
      <c r="P19" s="109">
        <f>O19</f>
        <v>25870.899999999998</v>
      </c>
      <c r="Q19" s="81"/>
    </row>
    <row r="20" spans="1:17" ht="31.5" x14ac:dyDescent="0.25">
      <c r="A20" s="98" t="s">
        <v>73</v>
      </c>
      <c r="B20" s="36">
        <v>338</v>
      </c>
      <c r="C20" s="36">
        <v>309</v>
      </c>
      <c r="D20" s="36">
        <v>277</v>
      </c>
      <c r="E20" s="36">
        <v>270</v>
      </c>
      <c r="F20" s="36">
        <v>388</v>
      </c>
      <c r="G20" s="36">
        <v>388</v>
      </c>
      <c r="H20" s="36">
        <v>382</v>
      </c>
      <c r="I20" s="36">
        <v>14085.156999999999</v>
      </c>
      <c r="J20" s="36">
        <v>14845.7</v>
      </c>
      <c r="K20" s="99">
        <v>16243.5</v>
      </c>
      <c r="L20" s="99">
        <f>23201.1-13.98</f>
        <v>23187.119999999999</v>
      </c>
      <c r="M20" s="99">
        <f>70.55*F20-3.5</f>
        <v>27369.899999999998</v>
      </c>
      <c r="N20" s="99">
        <v>33657</v>
      </c>
      <c r="O20" s="110">
        <f>77.7126812712*H20</f>
        <v>29686.244245598398</v>
      </c>
      <c r="P20" s="36">
        <f>77.5401727861*H20</f>
        <v>29620.346004290201</v>
      </c>
      <c r="Q20" s="99">
        <f>76.9992594878*H20</f>
        <v>29413.717124339601</v>
      </c>
    </row>
    <row r="21" spans="1:17" x14ac:dyDescent="0.25">
      <c r="A21" s="101"/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3"/>
      <c r="Q21" s="111"/>
    </row>
    <row r="22" spans="1:17" x14ac:dyDescent="0.25">
      <c r="A22" s="39" t="s">
        <v>70</v>
      </c>
      <c r="B22" s="104" t="s">
        <v>81</v>
      </c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6"/>
      <c r="Q22" s="111"/>
    </row>
    <row r="23" spans="1:17" x14ac:dyDescent="0.25">
      <c r="A23" s="107" t="s">
        <v>82</v>
      </c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9"/>
      <c r="Q23" s="81"/>
    </row>
    <row r="24" spans="1:17" ht="31.5" x14ac:dyDescent="0.25">
      <c r="A24" s="98" t="s">
        <v>73</v>
      </c>
      <c r="B24" s="36">
        <v>2859</v>
      </c>
      <c r="C24" s="36">
        <v>2860</v>
      </c>
      <c r="D24" s="36">
        <v>2850</v>
      </c>
      <c r="E24" s="36">
        <v>2783</v>
      </c>
      <c r="F24" s="36">
        <v>2783</v>
      </c>
      <c r="G24" s="36">
        <v>2783</v>
      </c>
      <c r="H24" s="36">
        <v>2783</v>
      </c>
      <c r="I24" s="99">
        <v>6990.7</v>
      </c>
      <c r="J24" s="36">
        <v>7764.9</v>
      </c>
      <c r="K24" s="36">
        <v>7414.4</v>
      </c>
      <c r="L24" s="36">
        <v>8058.3</v>
      </c>
      <c r="M24" s="36">
        <v>7980.8</v>
      </c>
      <c r="N24" s="36">
        <v>8394.1</v>
      </c>
      <c r="O24" s="110">
        <v>9585.7000000000007</v>
      </c>
      <c r="P24" s="36">
        <v>7628.8</v>
      </c>
      <c r="Q24" s="36">
        <v>7628.8</v>
      </c>
    </row>
    <row r="25" spans="1:17" x14ac:dyDescent="0.25">
      <c r="A25" s="101" t="s">
        <v>83</v>
      </c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3"/>
      <c r="Q25" s="111"/>
    </row>
    <row r="26" spans="1:17" x14ac:dyDescent="0.25">
      <c r="A26" s="39" t="s">
        <v>70</v>
      </c>
      <c r="B26" s="104" t="s">
        <v>84</v>
      </c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6"/>
      <c r="Q26" s="111"/>
    </row>
    <row r="27" spans="1:17" x14ac:dyDescent="0.25">
      <c r="A27" s="107" t="s">
        <v>76</v>
      </c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9"/>
      <c r="Q27" s="81"/>
    </row>
    <row r="28" spans="1:17" ht="31.5" x14ac:dyDescent="0.25">
      <c r="A28" s="98" t="s">
        <v>73</v>
      </c>
      <c r="B28" s="112">
        <v>1760</v>
      </c>
      <c r="C28" s="112">
        <v>1718</v>
      </c>
      <c r="D28" s="112">
        <v>1663</v>
      </c>
      <c r="E28" s="112">
        <v>1639</v>
      </c>
      <c r="F28" s="112">
        <v>1639</v>
      </c>
      <c r="G28" s="112">
        <v>1639</v>
      </c>
      <c r="H28" s="112">
        <v>1639</v>
      </c>
      <c r="I28" s="112">
        <v>24540.2</v>
      </c>
      <c r="J28" s="112">
        <v>27318.799999999999</v>
      </c>
      <c r="K28" s="113">
        <v>37615.9</v>
      </c>
      <c r="L28" s="113">
        <v>34556.199999999997</v>
      </c>
      <c r="M28" s="113">
        <v>32389.599999999999</v>
      </c>
      <c r="N28" s="112">
        <v>33657</v>
      </c>
      <c r="O28" s="114">
        <v>34624.699999999997</v>
      </c>
      <c r="P28" s="112">
        <v>32208.2</v>
      </c>
      <c r="Q28" s="112">
        <f>P28</f>
        <v>32208.2</v>
      </c>
    </row>
    <row r="29" spans="1:17" x14ac:dyDescent="0.25">
      <c r="A29" s="89" t="s">
        <v>85</v>
      </c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1"/>
    </row>
    <row r="30" spans="1:17" x14ac:dyDescent="0.25">
      <c r="A30" s="21" t="s">
        <v>70</v>
      </c>
      <c r="B30" s="92" t="s">
        <v>86</v>
      </c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4"/>
    </row>
    <row r="31" spans="1:17" x14ac:dyDescent="0.25">
      <c r="A31" s="95" t="s">
        <v>76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7"/>
    </row>
    <row r="32" spans="1:17" ht="31.5" x14ac:dyDescent="0.25">
      <c r="A32" s="30" t="s">
        <v>73</v>
      </c>
      <c r="B32" s="34">
        <v>272</v>
      </c>
      <c r="C32" s="34">
        <v>272</v>
      </c>
      <c r="D32" s="34">
        <v>272</v>
      </c>
      <c r="E32" s="34">
        <v>509</v>
      </c>
      <c r="F32" s="34">
        <v>520</v>
      </c>
      <c r="G32" s="34">
        <v>520</v>
      </c>
      <c r="H32" s="34">
        <v>520</v>
      </c>
      <c r="I32" s="115">
        <v>1840.2</v>
      </c>
      <c r="J32" s="115">
        <v>1939.6</v>
      </c>
      <c r="K32" s="115">
        <v>760.7</v>
      </c>
      <c r="L32" s="115">
        <f>415+1197.4</f>
        <v>1612.4</v>
      </c>
      <c r="M32" s="115">
        <f>444+1240.7</f>
        <v>1684.7</v>
      </c>
      <c r="N32" s="115">
        <f>444+1240.7</f>
        <v>1684.7</v>
      </c>
      <c r="O32" s="99">
        <f>444+1240.7</f>
        <v>1684.7</v>
      </c>
      <c r="P32" s="115">
        <f>444+1240.7</f>
        <v>1684.7</v>
      </c>
      <c r="Q32" s="115">
        <f>444+1240.7</f>
        <v>1684.7</v>
      </c>
    </row>
    <row r="34" spans="1:15" x14ac:dyDescent="0.25">
      <c r="N34" s="116"/>
      <c r="O34" s="111"/>
    </row>
    <row r="35" spans="1:15" x14ac:dyDescent="0.25">
      <c r="A35" s="1" t="s">
        <v>33</v>
      </c>
      <c r="K35" s="117" t="s">
        <v>34</v>
      </c>
      <c r="L35" s="117"/>
      <c r="M35" s="117"/>
      <c r="N35" s="117"/>
      <c r="O35" s="117"/>
    </row>
  </sheetData>
  <mergeCells count="27">
    <mergeCell ref="B30:P30"/>
    <mergeCell ref="A31:P31"/>
    <mergeCell ref="K35:O35"/>
    <mergeCell ref="B22:P22"/>
    <mergeCell ref="A23:P23"/>
    <mergeCell ref="A25:P25"/>
    <mergeCell ref="B26:P26"/>
    <mergeCell ref="A27:P27"/>
    <mergeCell ref="A29:P29"/>
    <mergeCell ref="B14:P14"/>
    <mergeCell ref="A15:P15"/>
    <mergeCell ref="A17:P17"/>
    <mergeCell ref="B18:P18"/>
    <mergeCell ref="A19:P19"/>
    <mergeCell ref="A21:P21"/>
    <mergeCell ref="B6:P6"/>
    <mergeCell ref="A7:P7"/>
    <mergeCell ref="A9:P9"/>
    <mergeCell ref="B10:P10"/>
    <mergeCell ref="A11:P11"/>
    <mergeCell ref="A13:P13"/>
    <mergeCell ref="I1:P1"/>
    <mergeCell ref="A2:P2"/>
    <mergeCell ref="A3:A4"/>
    <mergeCell ref="B3:H3"/>
    <mergeCell ref="I3:Q3"/>
    <mergeCell ref="A5:P5"/>
  </mergeCells>
  <pageMargins left="0.51181102362204722" right="0.51181102362204722" top="0.55118110236220474" bottom="0.35433070866141736" header="0.31496062992125984" footer="0.31496062992125984"/>
  <pageSetup paperSize="9" scale="64" fitToHeight="26" orientation="landscape" r:id="rId1"/>
  <headerFooter differentFirst="1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6"/>
  <sheetViews>
    <sheetView view="pageBreakPreview" zoomScaleNormal="100" zoomScaleSheetLayoutView="100" workbookViewId="0">
      <pane xSplit="2" ySplit="6" topLeftCell="C67" activePane="bottomRight" state="frozen"/>
      <selection activeCell="B8" sqref="B8"/>
      <selection pane="topRight" activeCell="B8" sqref="B8"/>
      <selection pane="bottomLeft" activeCell="B8" sqref="B8"/>
      <selection pane="bottomRight" activeCell="D72" sqref="D72"/>
    </sheetView>
  </sheetViews>
  <sheetFormatPr defaultRowHeight="15.75" x14ac:dyDescent="0.25"/>
  <cols>
    <col min="1" max="1" width="7.5703125" style="184" customWidth="1"/>
    <col min="2" max="2" width="79.140625" style="53" customWidth="1"/>
    <col min="3" max="3" width="12" style="53" customWidth="1"/>
    <col min="4" max="4" width="11.85546875" style="53" customWidth="1"/>
    <col min="5" max="5" width="26.140625" style="53" customWidth="1"/>
    <col min="6" max="6" width="11.42578125" style="53" hidden="1" customWidth="1"/>
    <col min="7" max="13" width="10.7109375" style="53" customWidth="1"/>
    <col min="14" max="15" width="10.7109375" style="122" customWidth="1"/>
    <col min="16" max="16384" width="9.140625" style="53"/>
  </cols>
  <sheetData>
    <row r="1" spans="1:15" ht="65.25" customHeight="1" x14ac:dyDescent="0.25">
      <c r="A1" s="118"/>
      <c r="B1" s="119"/>
      <c r="C1" s="120"/>
      <c r="D1" s="119"/>
      <c r="E1" s="119"/>
      <c r="G1" s="121" t="s">
        <v>87</v>
      </c>
      <c r="H1" s="121"/>
      <c r="I1" s="121"/>
      <c r="J1" s="121"/>
      <c r="K1" s="121"/>
      <c r="L1" s="121"/>
      <c r="M1" s="121"/>
    </row>
    <row r="2" spans="1:15" ht="37.5" customHeight="1" x14ac:dyDescent="0.25">
      <c r="A2" s="123" t="s">
        <v>88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</row>
    <row r="3" spans="1:15" x14ac:dyDescent="0.25">
      <c r="A3" s="124" t="s">
        <v>89</v>
      </c>
      <c r="B3" s="125" t="s">
        <v>90</v>
      </c>
      <c r="C3" s="125" t="s">
        <v>91</v>
      </c>
      <c r="D3" s="125" t="s">
        <v>92</v>
      </c>
      <c r="E3" s="125" t="s">
        <v>93</v>
      </c>
      <c r="F3" s="50" t="s">
        <v>94</v>
      </c>
      <c r="G3" s="50" t="s">
        <v>41</v>
      </c>
      <c r="H3" s="50" t="s">
        <v>42</v>
      </c>
      <c r="I3" s="50" t="s">
        <v>43</v>
      </c>
      <c r="J3" s="50" t="s">
        <v>44</v>
      </c>
      <c r="K3" s="50" t="s">
        <v>45</v>
      </c>
      <c r="L3" s="50" t="s">
        <v>46</v>
      </c>
      <c r="M3" s="50" t="s">
        <v>47</v>
      </c>
      <c r="N3" s="50" t="s">
        <v>48</v>
      </c>
      <c r="O3" s="50" t="s">
        <v>49</v>
      </c>
    </row>
    <row r="4" spans="1:15" x14ac:dyDescent="0.25">
      <c r="A4" s="124"/>
      <c r="B4" s="125"/>
      <c r="C4" s="125"/>
      <c r="D4" s="125"/>
      <c r="E4" s="125"/>
      <c r="F4" s="50"/>
      <c r="G4" s="50"/>
      <c r="H4" s="50"/>
      <c r="I4" s="50"/>
      <c r="J4" s="50"/>
      <c r="K4" s="50"/>
      <c r="L4" s="50"/>
      <c r="M4" s="50"/>
      <c r="N4" s="50"/>
      <c r="O4" s="50"/>
    </row>
    <row r="5" spans="1:15" x14ac:dyDescent="0.25">
      <c r="A5" s="124"/>
      <c r="B5" s="125"/>
      <c r="C5" s="125"/>
      <c r="D5" s="125"/>
      <c r="E5" s="125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x14ac:dyDescent="0.25">
      <c r="A6" s="125" t="s">
        <v>95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6"/>
    </row>
    <row r="7" spans="1:15" ht="47.25" x14ac:dyDescent="0.25">
      <c r="A7" s="35">
        <v>1</v>
      </c>
      <c r="B7" s="127" t="s">
        <v>96</v>
      </c>
      <c r="C7" s="34" t="s">
        <v>97</v>
      </c>
      <c r="D7" s="128" t="s">
        <v>98</v>
      </c>
      <c r="E7" s="129" t="s">
        <v>99</v>
      </c>
      <c r="F7" s="130"/>
      <c r="G7" s="131">
        <v>95</v>
      </c>
      <c r="H7" s="131">
        <v>95</v>
      </c>
      <c r="I7" s="131">
        <v>96</v>
      </c>
      <c r="J7" s="131">
        <v>96</v>
      </c>
      <c r="K7" s="131">
        <v>96</v>
      </c>
      <c r="L7" s="131">
        <v>96</v>
      </c>
      <c r="M7" s="131">
        <v>96</v>
      </c>
      <c r="N7" s="131">
        <v>96</v>
      </c>
      <c r="O7" s="132"/>
    </row>
    <row r="8" spans="1:15" ht="63" x14ac:dyDescent="0.25">
      <c r="A8" s="35" t="s">
        <v>100</v>
      </c>
      <c r="B8" s="127" t="s">
        <v>101</v>
      </c>
      <c r="C8" s="34" t="s">
        <v>97</v>
      </c>
      <c r="D8" s="128" t="s">
        <v>98</v>
      </c>
      <c r="E8" s="129" t="s">
        <v>102</v>
      </c>
      <c r="F8" s="115">
        <v>80</v>
      </c>
      <c r="G8" s="36">
        <v>91.3</v>
      </c>
      <c r="H8" s="36">
        <v>100</v>
      </c>
      <c r="I8" s="36">
        <v>100</v>
      </c>
      <c r="J8" s="36">
        <v>100</v>
      </c>
      <c r="K8" s="36">
        <v>100</v>
      </c>
      <c r="L8" s="36">
        <v>100</v>
      </c>
      <c r="M8" s="36">
        <v>100</v>
      </c>
      <c r="N8" s="36">
        <v>100</v>
      </c>
      <c r="O8" s="133"/>
    </row>
    <row r="9" spans="1:15" ht="63" x14ac:dyDescent="0.25">
      <c r="A9" s="35" t="s">
        <v>103</v>
      </c>
      <c r="B9" s="134" t="s">
        <v>104</v>
      </c>
      <c r="C9" s="128" t="s">
        <v>97</v>
      </c>
      <c r="D9" s="128" t="s">
        <v>98</v>
      </c>
      <c r="E9" s="128" t="s">
        <v>102</v>
      </c>
      <c r="F9" s="128">
        <v>1.96</v>
      </c>
      <c r="G9" s="135">
        <v>98.53</v>
      </c>
      <c r="H9" s="135">
        <v>98.6</v>
      </c>
      <c r="I9" s="135">
        <v>98.6</v>
      </c>
      <c r="J9" s="135">
        <v>100</v>
      </c>
      <c r="K9" s="135">
        <v>100</v>
      </c>
      <c r="L9" s="135">
        <v>100</v>
      </c>
      <c r="M9" s="135">
        <v>100</v>
      </c>
      <c r="N9" s="135">
        <v>100</v>
      </c>
      <c r="O9" s="136"/>
    </row>
    <row r="10" spans="1:15" ht="63" x14ac:dyDescent="0.25">
      <c r="A10" s="35" t="s">
        <v>105</v>
      </c>
      <c r="B10" s="127" t="s">
        <v>106</v>
      </c>
      <c r="C10" s="34" t="s">
        <v>97</v>
      </c>
      <c r="D10" s="128" t="s">
        <v>98</v>
      </c>
      <c r="E10" s="128" t="s">
        <v>102</v>
      </c>
      <c r="F10" s="137">
        <v>60.5</v>
      </c>
      <c r="G10" s="138">
        <v>67</v>
      </c>
      <c r="H10" s="138">
        <v>83</v>
      </c>
      <c r="I10" s="138">
        <v>83</v>
      </c>
      <c r="J10" s="138">
        <v>83</v>
      </c>
      <c r="K10" s="138">
        <v>83</v>
      </c>
      <c r="L10" s="138">
        <v>83</v>
      </c>
      <c r="M10" s="138">
        <v>100</v>
      </c>
      <c r="N10" s="138">
        <v>100</v>
      </c>
      <c r="O10" s="139"/>
    </row>
    <row r="11" spans="1:15" s="81" customFormat="1" x14ac:dyDescent="0.25">
      <c r="A11" s="140" t="s">
        <v>107</v>
      </c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1"/>
    </row>
    <row r="12" spans="1:15" s="81" customFormat="1" x14ac:dyDescent="0.25">
      <c r="A12" s="140" t="s">
        <v>108</v>
      </c>
      <c r="B12" s="140"/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1"/>
    </row>
    <row r="13" spans="1:15" s="81" customFormat="1" x14ac:dyDescent="0.25">
      <c r="A13" s="140" t="s">
        <v>109</v>
      </c>
      <c r="B13" s="140"/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1"/>
    </row>
    <row r="14" spans="1:15" ht="31.5" x14ac:dyDescent="0.25">
      <c r="A14" s="35" t="s">
        <v>110</v>
      </c>
      <c r="B14" s="127" t="s">
        <v>111</v>
      </c>
      <c r="C14" s="36" t="s">
        <v>97</v>
      </c>
      <c r="D14" s="34">
        <v>0.02</v>
      </c>
      <c r="E14" s="142" t="s">
        <v>112</v>
      </c>
      <c r="F14" s="36">
        <v>64</v>
      </c>
      <c r="G14" s="36">
        <v>90.1</v>
      </c>
      <c r="H14" s="99">
        <v>97.5</v>
      </c>
      <c r="I14" s="99">
        <v>100</v>
      </c>
      <c r="J14" s="99">
        <v>100</v>
      </c>
      <c r="K14" s="99">
        <v>100</v>
      </c>
      <c r="L14" s="99">
        <v>100</v>
      </c>
      <c r="M14" s="99">
        <v>100</v>
      </c>
      <c r="N14" s="99">
        <v>100</v>
      </c>
      <c r="O14" s="143"/>
    </row>
    <row r="15" spans="1:15" ht="63" x14ac:dyDescent="0.25">
      <c r="A15" s="35" t="s">
        <v>113</v>
      </c>
      <c r="B15" s="127" t="s">
        <v>114</v>
      </c>
      <c r="C15" s="36" t="s">
        <v>97</v>
      </c>
      <c r="D15" s="34">
        <v>0.02</v>
      </c>
      <c r="E15" s="142" t="s">
        <v>112</v>
      </c>
      <c r="F15" s="88">
        <v>78.8</v>
      </c>
      <c r="G15" s="88">
        <v>85</v>
      </c>
      <c r="H15" s="88">
        <v>97</v>
      </c>
      <c r="I15" s="99">
        <v>100</v>
      </c>
      <c r="J15" s="99">
        <v>100</v>
      </c>
      <c r="K15" s="99">
        <v>100</v>
      </c>
      <c r="L15" s="99">
        <v>100</v>
      </c>
      <c r="M15" s="99">
        <v>100</v>
      </c>
      <c r="N15" s="99">
        <v>100</v>
      </c>
      <c r="O15" s="143"/>
    </row>
    <row r="16" spans="1:15" ht="94.5" x14ac:dyDescent="0.25">
      <c r="A16" s="35" t="s">
        <v>115</v>
      </c>
      <c r="B16" s="127" t="s">
        <v>116</v>
      </c>
      <c r="C16" s="36" t="s">
        <v>97</v>
      </c>
      <c r="D16" s="34">
        <v>0.02</v>
      </c>
      <c r="E16" s="142" t="s">
        <v>112</v>
      </c>
      <c r="F16" s="144" t="s">
        <v>117</v>
      </c>
      <c r="G16" s="36" t="s">
        <v>117</v>
      </c>
      <c r="H16" s="99">
        <v>0</v>
      </c>
      <c r="I16" s="99">
        <v>0</v>
      </c>
      <c r="J16" s="99">
        <v>100</v>
      </c>
      <c r="K16" s="99">
        <v>100</v>
      </c>
      <c r="L16" s="99">
        <v>100</v>
      </c>
      <c r="M16" s="99">
        <v>100</v>
      </c>
      <c r="N16" s="99">
        <v>100</v>
      </c>
      <c r="O16" s="143"/>
    </row>
    <row r="17" spans="1:15" ht="78.75" x14ac:dyDescent="0.25">
      <c r="A17" s="35" t="s">
        <v>118</v>
      </c>
      <c r="B17" s="127" t="s">
        <v>119</v>
      </c>
      <c r="C17" s="36" t="s">
        <v>97</v>
      </c>
      <c r="D17" s="34">
        <v>0.02</v>
      </c>
      <c r="E17" s="142" t="s">
        <v>112</v>
      </c>
      <c r="F17" s="36" t="s">
        <v>117</v>
      </c>
      <c r="G17" s="36" t="s">
        <v>120</v>
      </c>
      <c r="H17" s="99" t="s">
        <v>121</v>
      </c>
      <c r="I17" s="99" t="s">
        <v>121</v>
      </c>
      <c r="J17" s="99" t="s">
        <v>121</v>
      </c>
      <c r="K17" s="99" t="s">
        <v>121</v>
      </c>
      <c r="L17" s="99" t="s">
        <v>121</v>
      </c>
      <c r="M17" s="99" t="s">
        <v>121</v>
      </c>
      <c r="N17" s="99" t="s">
        <v>121</v>
      </c>
      <c r="O17" s="143"/>
    </row>
    <row r="18" spans="1:15" s="81" customFormat="1" x14ac:dyDescent="0.25">
      <c r="A18" s="140" t="s">
        <v>122</v>
      </c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1"/>
    </row>
    <row r="19" spans="1:15" s="81" customFormat="1" x14ac:dyDescent="0.25">
      <c r="A19" s="140" t="s">
        <v>123</v>
      </c>
      <c r="B19" s="140"/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1"/>
    </row>
    <row r="20" spans="1:15" s="81" customFormat="1" x14ac:dyDescent="0.25">
      <c r="A20" s="140" t="s">
        <v>124</v>
      </c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1"/>
    </row>
    <row r="21" spans="1:15" ht="31.5" x14ac:dyDescent="0.25">
      <c r="A21" s="35" t="s">
        <v>125</v>
      </c>
      <c r="B21" s="127" t="s">
        <v>126</v>
      </c>
      <c r="C21" s="34" t="s">
        <v>97</v>
      </c>
      <c r="D21" s="34">
        <v>0.02</v>
      </c>
      <c r="E21" s="129" t="s">
        <v>102</v>
      </c>
      <c r="F21" s="34" t="s">
        <v>127</v>
      </c>
      <c r="G21" s="145">
        <v>71.400000000000006</v>
      </c>
      <c r="H21" s="145">
        <v>85.7</v>
      </c>
      <c r="I21" s="137">
        <v>85.7</v>
      </c>
      <c r="J21" s="137">
        <v>85.7</v>
      </c>
      <c r="K21" s="137">
        <v>85.7</v>
      </c>
      <c r="L21" s="137">
        <v>85.7</v>
      </c>
      <c r="M21" s="137">
        <v>85.7</v>
      </c>
      <c r="N21" s="137">
        <v>85.7</v>
      </c>
      <c r="O21" s="146"/>
    </row>
    <row r="22" spans="1:15" ht="31.5" x14ac:dyDescent="0.25">
      <c r="A22" s="35" t="s">
        <v>128</v>
      </c>
      <c r="B22" s="127" t="s">
        <v>129</v>
      </c>
      <c r="C22" s="34" t="s">
        <v>97</v>
      </c>
      <c r="D22" s="34">
        <v>0.02</v>
      </c>
      <c r="E22" s="129" t="s">
        <v>102</v>
      </c>
      <c r="F22" s="34" t="s">
        <v>127</v>
      </c>
      <c r="G22" s="147">
        <v>75</v>
      </c>
      <c r="H22" s="147">
        <v>75</v>
      </c>
      <c r="I22" s="137">
        <v>75</v>
      </c>
      <c r="J22" s="137">
        <v>85</v>
      </c>
      <c r="K22" s="137">
        <v>85</v>
      </c>
      <c r="L22" s="137">
        <v>85</v>
      </c>
      <c r="M22" s="137">
        <v>85</v>
      </c>
      <c r="N22" s="137">
        <v>85</v>
      </c>
      <c r="O22" s="146"/>
    </row>
    <row r="23" spans="1:15" ht="31.5" x14ac:dyDescent="0.25">
      <c r="A23" s="35" t="s">
        <v>130</v>
      </c>
      <c r="B23" s="127" t="s">
        <v>131</v>
      </c>
      <c r="C23" s="34" t="s">
        <v>132</v>
      </c>
      <c r="D23" s="34">
        <v>0.02</v>
      </c>
      <c r="E23" s="129" t="s">
        <v>102</v>
      </c>
      <c r="F23" s="34"/>
      <c r="G23" s="147">
        <v>8</v>
      </c>
      <c r="H23" s="147">
        <v>8</v>
      </c>
      <c r="I23" s="137">
        <v>8</v>
      </c>
      <c r="J23" s="137">
        <v>8</v>
      </c>
      <c r="K23" s="137">
        <v>8</v>
      </c>
      <c r="L23" s="137">
        <v>8</v>
      </c>
      <c r="M23" s="137">
        <v>8</v>
      </c>
      <c r="N23" s="137">
        <v>8</v>
      </c>
      <c r="O23" s="146"/>
    </row>
    <row r="24" spans="1:15" ht="31.5" x14ac:dyDescent="0.25">
      <c r="A24" s="35" t="s">
        <v>133</v>
      </c>
      <c r="B24" s="127" t="s">
        <v>134</v>
      </c>
      <c r="C24" s="34" t="s">
        <v>97</v>
      </c>
      <c r="D24" s="34">
        <v>0.02</v>
      </c>
      <c r="E24" s="129" t="s">
        <v>102</v>
      </c>
      <c r="F24" s="34"/>
      <c r="G24" s="147">
        <v>100</v>
      </c>
      <c r="H24" s="147">
        <v>100</v>
      </c>
      <c r="I24" s="137">
        <v>100</v>
      </c>
      <c r="J24" s="137">
        <v>100</v>
      </c>
      <c r="K24" s="137">
        <v>100</v>
      </c>
      <c r="L24" s="137">
        <v>100</v>
      </c>
      <c r="M24" s="137">
        <v>100</v>
      </c>
      <c r="N24" s="137">
        <v>100</v>
      </c>
      <c r="O24" s="146"/>
    </row>
    <row r="25" spans="1:15" ht="31.5" x14ac:dyDescent="0.25">
      <c r="A25" s="35" t="s">
        <v>135</v>
      </c>
      <c r="B25" s="127" t="s">
        <v>136</v>
      </c>
      <c r="C25" s="34" t="s">
        <v>132</v>
      </c>
      <c r="D25" s="34">
        <v>0.02</v>
      </c>
      <c r="E25" s="129" t="s">
        <v>102</v>
      </c>
      <c r="F25" s="34" t="s">
        <v>127</v>
      </c>
      <c r="G25" s="147">
        <v>7</v>
      </c>
      <c r="H25" s="147">
        <v>7</v>
      </c>
      <c r="I25" s="147">
        <v>7</v>
      </c>
      <c r="J25" s="147">
        <v>7</v>
      </c>
      <c r="K25" s="147">
        <v>7</v>
      </c>
      <c r="L25" s="147">
        <v>7</v>
      </c>
      <c r="M25" s="147">
        <v>7</v>
      </c>
      <c r="N25" s="147">
        <v>7</v>
      </c>
      <c r="O25" s="148"/>
    </row>
    <row r="26" spans="1:15" s="81" customFormat="1" x14ac:dyDescent="0.25">
      <c r="A26" s="140" t="s">
        <v>137</v>
      </c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1"/>
    </row>
    <row r="27" spans="1:15" ht="31.5" x14ac:dyDescent="0.25">
      <c r="A27" s="35" t="s">
        <v>138</v>
      </c>
      <c r="B27" s="127" t="s">
        <v>139</v>
      </c>
      <c r="C27" s="128" t="s">
        <v>97</v>
      </c>
      <c r="D27" s="34">
        <v>0.02</v>
      </c>
      <c r="E27" s="128" t="s">
        <v>102</v>
      </c>
      <c r="F27" s="12">
        <v>15.6</v>
      </c>
      <c r="G27" s="147">
        <v>87.5</v>
      </c>
      <c r="H27" s="147">
        <v>100</v>
      </c>
      <c r="I27" s="147">
        <v>100</v>
      </c>
      <c r="J27" s="147">
        <v>100</v>
      </c>
      <c r="K27" s="147">
        <v>100</v>
      </c>
      <c r="L27" s="149">
        <v>100</v>
      </c>
      <c r="M27" s="149">
        <v>100</v>
      </c>
      <c r="N27" s="149">
        <v>100</v>
      </c>
      <c r="O27" s="150"/>
    </row>
    <row r="28" spans="1:15" ht="31.5" x14ac:dyDescent="0.25">
      <c r="A28" s="35" t="s">
        <v>140</v>
      </c>
      <c r="B28" s="127" t="s">
        <v>141</v>
      </c>
      <c r="C28" s="128" t="s">
        <v>97</v>
      </c>
      <c r="D28" s="34">
        <v>0.03</v>
      </c>
      <c r="E28" s="128" t="s">
        <v>102</v>
      </c>
      <c r="F28" s="12">
        <v>83.66</v>
      </c>
      <c r="G28" s="147">
        <v>89</v>
      </c>
      <c r="H28" s="147">
        <v>90</v>
      </c>
      <c r="I28" s="149">
        <v>95</v>
      </c>
      <c r="J28" s="149">
        <v>95</v>
      </c>
      <c r="K28" s="149">
        <v>95</v>
      </c>
      <c r="L28" s="149">
        <v>95</v>
      </c>
      <c r="M28" s="149">
        <v>95</v>
      </c>
      <c r="N28" s="149">
        <v>95</v>
      </c>
      <c r="O28" s="150"/>
    </row>
    <row r="29" spans="1:15" ht="63" x14ac:dyDescent="0.25">
      <c r="A29" s="35" t="s">
        <v>142</v>
      </c>
      <c r="B29" s="127" t="s">
        <v>143</v>
      </c>
      <c r="C29" s="128" t="s">
        <v>97</v>
      </c>
      <c r="D29" s="34">
        <v>0.03</v>
      </c>
      <c r="E29" s="128" t="s">
        <v>102</v>
      </c>
      <c r="F29" s="151">
        <v>90</v>
      </c>
      <c r="G29" s="147">
        <v>10.1</v>
      </c>
      <c r="H29" s="147">
        <v>10.1</v>
      </c>
      <c r="I29" s="149">
        <v>10.1</v>
      </c>
      <c r="J29" s="149">
        <v>9.1</v>
      </c>
      <c r="K29" s="149">
        <v>9.5</v>
      </c>
      <c r="L29" s="149">
        <v>10.1</v>
      </c>
      <c r="M29" s="149">
        <v>10.1</v>
      </c>
      <c r="N29" s="149">
        <v>10.1</v>
      </c>
      <c r="O29" s="150"/>
    </row>
    <row r="30" spans="1:15" s="152" customFormat="1" ht="63" x14ac:dyDescent="0.2">
      <c r="A30" s="35" t="s">
        <v>144</v>
      </c>
      <c r="B30" s="127" t="s">
        <v>145</v>
      </c>
      <c r="C30" s="34" t="s">
        <v>97</v>
      </c>
      <c r="D30" s="34">
        <v>0.03</v>
      </c>
      <c r="E30" s="129" t="s">
        <v>99</v>
      </c>
      <c r="F30" s="137">
        <v>2.34</v>
      </c>
      <c r="G30" s="147">
        <v>1.1299999999999999</v>
      </c>
      <c r="H30" s="147">
        <v>1.57</v>
      </c>
      <c r="I30" s="147">
        <v>1.72</v>
      </c>
      <c r="J30" s="147">
        <v>1.86</v>
      </c>
      <c r="K30" s="147">
        <v>1.87</v>
      </c>
      <c r="L30" s="147">
        <v>1.9</v>
      </c>
      <c r="M30" s="147">
        <v>1.9</v>
      </c>
      <c r="N30" s="147">
        <v>1.9</v>
      </c>
      <c r="O30" s="148"/>
    </row>
    <row r="31" spans="1:15" ht="47.25" x14ac:dyDescent="0.25">
      <c r="A31" s="35" t="s">
        <v>146</v>
      </c>
      <c r="B31" s="127" t="s">
        <v>147</v>
      </c>
      <c r="C31" s="128" t="s">
        <v>97</v>
      </c>
      <c r="D31" s="34">
        <v>0.02</v>
      </c>
      <c r="E31" s="128" t="s">
        <v>102</v>
      </c>
      <c r="F31" s="12">
        <v>9.7799999999999994</v>
      </c>
      <c r="G31" s="145">
        <v>39</v>
      </c>
      <c r="H31" s="145">
        <v>41</v>
      </c>
      <c r="I31" s="149">
        <v>41</v>
      </c>
      <c r="J31" s="153">
        <v>42.5</v>
      </c>
      <c r="K31" s="153">
        <v>48.8</v>
      </c>
      <c r="L31" s="153">
        <v>50.2</v>
      </c>
      <c r="M31" s="153">
        <v>50.2</v>
      </c>
      <c r="N31" s="153">
        <v>50.2</v>
      </c>
      <c r="O31" s="154"/>
    </row>
    <row r="32" spans="1:15" ht="63" x14ac:dyDescent="0.25">
      <c r="A32" s="35" t="s">
        <v>148</v>
      </c>
      <c r="B32" s="127" t="s">
        <v>149</v>
      </c>
      <c r="C32" s="155" t="s">
        <v>97</v>
      </c>
      <c r="D32" s="34">
        <v>0.03</v>
      </c>
      <c r="E32" s="128" t="s">
        <v>102</v>
      </c>
      <c r="F32" s="155">
        <v>83</v>
      </c>
      <c r="G32" s="145">
        <v>0</v>
      </c>
      <c r="H32" s="145">
        <v>0</v>
      </c>
      <c r="I32" s="149">
        <v>0</v>
      </c>
      <c r="J32" s="149">
        <v>0</v>
      </c>
      <c r="K32" s="149">
        <v>0</v>
      </c>
      <c r="L32" s="149">
        <v>0</v>
      </c>
      <c r="M32" s="149">
        <v>0</v>
      </c>
      <c r="N32" s="149">
        <v>0</v>
      </c>
      <c r="O32" s="150"/>
    </row>
    <row r="33" spans="1:15" ht="47.25" x14ac:dyDescent="0.25">
      <c r="A33" s="35" t="s">
        <v>150</v>
      </c>
      <c r="B33" s="127" t="s">
        <v>151</v>
      </c>
      <c r="C33" s="155" t="s">
        <v>97</v>
      </c>
      <c r="D33" s="34">
        <v>0.02</v>
      </c>
      <c r="E33" s="128" t="s">
        <v>102</v>
      </c>
      <c r="F33" s="156">
        <v>35</v>
      </c>
      <c r="G33" s="157">
        <v>93.5</v>
      </c>
      <c r="H33" s="157">
        <v>93.5</v>
      </c>
      <c r="I33" s="153">
        <v>95</v>
      </c>
      <c r="J33" s="153">
        <v>100</v>
      </c>
      <c r="K33" s="153">
        <v>100</v>
      </c>
      <c r="L33" s="153">
        <v>100</v>
      </c>
      <c r="M33" s="153">
        <v>100</v>
      </c>
      <c r="N33" s="153">
        <v>100</v>
      </c>
      <c r="O33" s="154"/>
    </row>
    <row r="34" spans="1:15" ht="47.25" x14ac:dyDescent="0.25">
      <c r="A34" s="35" t="s">
        <v>152</v>
      </c>
      <c r="B34" s="127" t="s">
        <v>153</v>
      </c>
      <c r="C34" s="155" t="s">
        <v>97</v>
      </c>
      <c r="D34" s="34">
        <v>0.02</v>
      </c>
      <c r="E34" s="128" t="s">
        <v>102</v>
      </c>
      <c r="F34" s="156">
        <v>45</v>
      </c>
      <c r="G34" s="157">
        <v>92</v>
      </c>
      <c r="H34" s="157">
        <v>92</v>
      </c>
      <c r="I34" s="153">
        <v>92</v>
      </c>
      <c r="J34" s="153">
        <v>100</v>
      </c>
      <c r="K34" s="153">
        <v>100</v>
      </c>
      <c r="L34" s="153">
        <v>100</v>
      </c>
      <c r="M34" s="153">
        <v>100</v>
      </c>
      <c r="N34" s="153">
        <v>100</v>
      </c>
      <c r="O34" s="154"/>
    </row>
    <row r="35" spans="1:15" ht="31.5" x14ac:dyDescent="0.25">
      <c r="A35" s="35" t="s">
        <v>154</v>
      </c>
      <c r="B35" s="127" t="s">
        <v>155</v>
      </c>
      <c r="C35" s="155" t="s">
        <v>97</v>
      </c>
      <c r="D35" s="34">
        <v>0.02</v>
      </c>
      <c r="E35" s="128" t="s">
        <v>102</v>
      </c>
      <c r="F35" s="156">
        <v>1</v>
      </c>
      <c r="G35" s="147">
        <v>96</v>
      </c>
      <c r="H35" s="147">
        <v>96.5</v>
      </c>
      <c r="I35" s="149">
        <v>97</v>
      </c>
      <c r="J35" s="149">
        <v>97</v>
      </c>
      <c r="K35" s="149">
        <v>98</v>
      </c>
      <c r="L35" s="149">
        <v>98</v>
      </c>
      <c r="M35" s="149">
        <v>98</v>
      </c>
      <c r="N35" s="149">
        <v>98</v>
      </c>
      <c r="O35" s="150"/>
    </row>
    <row r="36" spans="1:15" ht="94.5" x14ac:dyDescent="0.25">
      <c r="A36" s="35" t="s">
        <v>156</v>
      </c>
      <c r="B36" s="127" t="s">
        <v>157</v>
      </c>
      <c r="C36" s="128" t="s">
        <v>97</v>
      </c>
      <c r="D36" s="34">
        <v>0.02</v>
      </c>
      <c r="E36" s="128" t="s">
        <v>102</v>
      </c>
      <c r="F36" s="128" t="s">
        <v>127</v>
      </c>
      <c r="G36" s="147">
        <v>2.5</v>
      </c>
      <c r="H36" s="147">
        <v>3</v>
      </c>
      <c r="I36" s="149">
        <v>3.4</v>
      </c>
      <c r="J36" s="149">
        <v>2.4</v>
      </c>
      <c r="K36" s="149">
        <v>2.8</v>
      </c>
      <c r="L36" s="149">
        <v>2.8</v>
      </c>
      <c r="M36" s="149">
        <v>2.8</v>
      </c>
      <c r="N36" s="149">
        <v>2.8</v>
      </c>
      <c r="O36" s="150"/>
    </row>
    <row r="37" spans="1:15" s="81" customFormat="1" x14ac:dyDescent="0.25">
      <c r="A37" s="140" t="s">
        <v>158</v>
      </c>
      <c r="B37" s="140"/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1"/>
    </row>
    <row r="38" spans="1:15" ht="31.5" x14ac:dyDescent="0.25">
      <c r="A38" s="158" t="s">
        <v>159</v>
      </c>
      <c r="B38" s="127" t="s">
        <v>160</v>
      </c>
      <c r="C38" s="34" t="s">
        <v>97</v>
      </c>
      <c r="D38" s="34">
        <v>0.03</v>
      </c>
      <c r="E38" s="129" t="s">
        <v>102</v>
      </c>
      <c r="F38" s="128">
        <v>70</v>
      </c>
      <c r="G38" s="147">
        <v>75</v>
      </c>
      <c r="H38" s="147">
        <v>75</v>
      </c>
      <c r="I38" s="159">
        <v>75</v>
      </c>
      <c r="J38" s="159">
        <v>93</v>
      </c>
      <c r="K38" s="159">
        <v>93</v>
      </c>
      <c r="L38" s="159">
        <v>75</v>
      </c>
      <c r="M38" s="159">
        <v>75</v>
      </c>
      <c r="N38" s="159">
        <v>75</v>
      </c>
      <c r="O38" s="160"/>
    </row>
    <row r="39" spans="1:15" ht="31.5" x14ac:dyDescent="0.25">
      <c r="A39" s="158" t="s">
        <v>161</v>
      </c>
      <c r="B39" s="161" t="s">
        <v>162</v>
      </c>
      <c r="C39" s="36" t="s">
        <v>97</v>
      </c>
      <c r="D39" s="36">
        <v>0.03</v>
      </c>
      <c r="E39" s="162" t="s">
        <v>102</v>
      </c>
      <c r="F39" s="135"/>
      <c r="G39" s="157">
        <v>67</v>
      </c>
      <c r="H39" s="157">
        <v>70</v>
      </c>
      <c r="I39" s="131">
        <v>72</v>
      </c>
      <c r="J39" s="131">
        <v>72</v>
      </c>
      <c r="K39" s="131">
        <v>72</v>
      </c>
      <c r="L39" s="131">
        <v>72</v>
      </c>
      <c r="M39" s="131">
        <v>72</v>
      </c>
      <c r="N39" s="131">
        <v>72</v>
      </c>
      <c r="O39" s="132"/>
    </row>
    <row r="40" spans="1:15" ht="31.5" x14ac:dyDescent="0.25">
      <c r="A40" s="158" t="s">
        <v>163</v>
      </c>
      <c r="B40" s="161" t="s">
        <v>164</v>
      </c>
      <c r="C40" s="34" t="s">
        <v>97</v>
      </c>
      <c r="D40" s="34">
        <v>0.03</v>
      </c>
      <c r="E40" s="129" t="s">
        <v>102</v>
      </c>
      <c r="F40" s="128" t="s">
        <v>127</v>
      </c>
      <c r="G40" s="147">
        <v>15</v>
      </c>
      <c r="H40" s="147">
        <v>15</v>
      </c>
      <c r="I40" s="159">
        <v>16.5</v>
      </c>
      <c r="J40" s="159">
        <v>18.3</v>
      </c>
      <c r="K40" s="159">
        <v>19.100000000000001</v>
      </c>
      <c r="L40" s="159">
        <v>19.5</v>
      </c>
      <c r="M40" s="159">
        <v>19.5</v>
      </c>
      <c r="N40" s="159">
        <v>19.5</v>
      </c>
      <c r="O40" s="160"/>
    </row>
    <row r="41" spans="1:15" s="81" customFormat="1" x14ac:dyDescent="0.25">
      <c r="A41" s="140" t="s">
        <v>165</v>
      </c>
      <c r="B41" s="140"/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1"/>
    </row>
    <row r="42" spans="1:15" ht="63" x14ac:dyDescent="0.25">
      <c r="A42" s="158" t="s">
        <v>166</v>
      </c>
      <c r="B42" s="161" t="s">
        <v>167</v>
      </c>
      <c r="C42" s="34" t="s">
        <v>97</v>
      </c>
      <c r="D42" s="34">
        <v>0.03</v>
      </c>
      <c r="E42" s="129" t="s">
        <v>102</v>
      </c>
      <c r="F42" s="128">
        <v>78.400000000000006</v>
      </c>
      <c r="G42" s="159">
        <v>80.2</v>
      </c>
      <c r="H42" s="159">
        <v>80.400000000000006</v>
      </c>
      <c r="I42" s="159">
        <v>80.5</v>
      </c>
      <c r="J42" s="159">
        <v>80.5</v>
      </c>
      <c r="K42" s="159">
        <v>80.5</v>
      </c>
      <c r="L42" s="159">
        <v>80.5</v>
      </c>
      <c r="M42" s="159">
        <v>80.5</v>
      </c>
      <c r="N42" s="159">
        <v>80.5</v>
      </c>
      <c r="O42" s="160"/>
    </row>
    <row r="43" spans="1:15" s="81" customFormat="1" x14ac:dyDescent="0.25">
      <c r="A43" s="140" t="s">
        <v>168</v>
      </c>
      <c r="B43" s="140"/>
      <c r="C43" s="140"/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41"/>
    </row>
    <row r="44" spans="1:15" s="81" customFormat="1" x14ac:dyDescent="0.25">
      <c r="A44" s="140" t="s">
        <v>169</v>
      </c>
      <c r="B44" s="140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1"/>
    </row>
    <row r="45" spans="1:15" s="81" customFormat="1" x14ac:dyDescent="0.25">
      <c r="A45" s="140" t="s">
        <v>170</v>
      </c>
      <c r="B45" s="140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1"/>
    </row>
    <row r="46" spans="1:15" ht="31.5" x14ac:dyDescent="0.25">
      <c r="A46" s="35" t="s">
        <v>171</v>
      </c>
      <c r="B46" s="127" t="s">
        <v>172</v>
      </c>
      <c r="C46" s="155" t="s">
        <v>97</v>
      </c>
      <c r="D46" s="34">
        <v>0.04</v>
      </c>
      <c r="E46" s="128" t="s">
        <v>102</v>
      </c>
      <c r="F46" s="137">
        <v>97.09</v>
      </c>
      <c r="G46" s="129">
        <v>82.9</v>
      </c>
      <c r="H46" s="129">
        <v>82.9</v>
      </c>
      <c r="I46" s="129">
        <v>93.2</v>
      </c>
      <c r="J46" s="129">
        <v>93.7</v>
      </c>
      <c r="K46" s="129">
        <v>94</v>
      </c>
      <c r="L46" s="129">
        <v>94</v>
      </c>
      <c r="M46" s="129">
        <v>94</v>
      </c>
      <c r="N46" s="129">
        <v>94</v>
      </c>
      <c r="O46" s="129">
        <v>94</v>
      </c>
    </row>
    <row r="47" spans="1:15" s="81" customFormat="1" x14ac:dyDescent="0.25">
      <c r="A47" s="140" t="s">
        <v>173</v>
      </c>
      <c r="B47" s="140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1"/>
    </row>
    <row r="48" spans="1:15" ht="31.5" x14ac:dyDescent="0.25">
      <c r="A48" s="35" t="s">
        <v>174</v>
      </c>
      <c r="B48" s="163" t="s">
        <v>175</v>
      </c>
      <c r="C48" s="155" t="s">
        <v>97</v>
      </c>
      <c r="D48" s="34">
        <v>0.04</v>
      </c>
      <c r="E48" s="129" t="s">
        <v>102</v>
      </c>
      <c r="F48" s="164">
        <v>134</v>
      </c>
      <c r="G48" s="129">
        <v>73</v>
      </c>
      <c r="H48" s="129">
        <v>74</v>
      </c>
      <c r="I48" s="129">
        <v>89</v>
      </c>
      <c r="J48" s="129">
        <v>90</v>
      </c>
      <c r="K48" s="129">
        <v>92</v>
      </c>
      <c r="L48" s="129">
        <v>95</v>
      </c>
      <c r="M48" s="129">
        <v>95</v>
      </c>
      <c r="N48" s="129">
        <v>95</v>
      </c>
      <c r="O48" s="129">
        <v>95</v>
      </c>
    </row>
    <row r="49" spans="1:15" ht="47.25" x14ac:dyDescent="0.25">
      <c r="A49" s="35" t="s">
        <v>176</v>
      </c>
      <c r="B49" s="163" t="s">
        <v>177</v>
      </c>
      <c r="C49" s="155" t="s">
        <v>97</v>
      </c>
      <c r="D49" s="34">
        <v>0.04</v>
      </c>
      <c r="E49" s="128" t="s">
        <v>102</v>
      </c>
      <c r="F49" s="128">
        <v>15.6</v>
      </c>
      <c r="G49" s="129">
        <v>70</v>
      </c>
      <c r="H49" s="129">
        <v>70</v>
      </c>
      <c r="I49" s="129">
        <v>95</v>
      </c>
      <c r="J49" s="129">
        <v>97</v>
      </c>
      <c r="K49" s="129">
        <v>97</v>
      </c>
      <c r="L49" s="129">
        <v>98</v>
      </c>
      <c r="M49" s="129">
        <v>98</v>
      </c>
      <c r="N49" s="129">
        <v>98</v>
      </c>
      <c r="O49" s="129">
        <v>98</v>
      </c>
    </row>
    <row r="50" spans="1:15" s="81" customFormat="1" x14ac:dyDescent="0.25">
      <c r="A50" s="140" t="s">
        <v>178</v>
      </c>
      <c r="B50" s="140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1"/>
    </row>
    <row r="51" spans="1:15" s="81" customFormat="1" x14ac:dyDescent="0.25">
      <c r="A51" s="140" t="s">
        <v>179</v>
      </c>
      <c r="B51" s="140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1"/>
    </row>
    <row r="52" spans="1:15" s="81" customFormat="1" x14ac:dyDescent="0.25">
      <c r="A52" s="140" t="s">
        <v>180</v>
      </c>
      <c r="B52" s="140"/>
      <c r="C52" s="140"/>
      <c r="D52" s="140"/>
      <c r="E52" s="140"/>
      <c r="F52" s="140"/>
      <c r="G52" s="140"/>
      <c r="H52" s="140"/>
      <c r="I52" s="140"/>
      <c r="J52" s="140"/>
      <c r="K52" s="140"/>
      <c r="L52" s="140"/>
      <c r="M52" s="140"/>
      <c r="N52" s="140"/>
      <c r="O52" s="141"/>
    </row>
    <row r="53" spans="1:15" ht="31.5" x14ac:dyDescent="0.25">
      <c r="A53" s="165" t="s">
        <v>181</v>
      </c>
      <c r="B53" s="166" t="s">
        <v>182</v>
      </c>
      <c r="C53" s="167" t="s">
        <v>183</v>
      </c>
      <c r="D53" s="110">
        <v>0.03</v>
      </c>
      <c r="E53" s="168" t="s">
        <v>21</v>
      </c>
      <c r="F53" s="169"/>
      <c r="G53" s="170">
        <v>1460</v>
      </c>
      <c r="H53" s="170">
        <v>1470</v>
      </c>
      <c r="I53" s="167">
        <v>1470</v>
      </c>
      <c r="J53" s="167">
        <v>2863</v>
      </c>
      <c r="K53" s="167">
        <v>3174</v>
      </c>
      <c r="L53" s="167">
        <v>3205</v>
      </c>
      <c r="M53" s="171">
        <v>3199</v>
      </c>
      <c r="N53" s="171">
        <f t="shared" ref="N53:O55" si="0">M53</f>
        <v>3199</v>
      </c>
      <c r="O53" s="171">
        <f t="shared" si="0"/>
        <v>3199</v>
      </c>
    </row>
    <row r="54" spans="1:15" ht="31.5" x14ac:dyDescent="0.25">
      <c r="A54" s="167" t="s">
        <v>184</v>
      </c>
      <c r="B54" s="166" t="s">
        <v>185</v>
      </c>
      <c r="C54" s="167" t="s">
        <v>183</v>
      </c>
      <c r="D54" s="167">
        <v>0.01</v>
      </c>
      <c r="E54" s="168" t="s">
        <v>21</v>
      </c>
      <c r="F54" s="169"/>
      <c r="G54" s="170">
        <v>28870</v>
      </c>
      <c r="H54" s="170">
        <v>29600</v>
      </c>
      <c r="I54" s="167">
        <v>30690</v>
      </c>
      <c r="J54" s="167">
        <v>32180</v>
      </c>
      <c r="K54" s="167">
        <v>33390</v>
      </c>
      <c r="L54" s="167">
        <v>38561</v>
      </c>
      <c r="M54" s="172">
        <v>38561</v>
      </c>
      <c r="N54" s="172">
        <f t="shared" si="0"/>
        <v>38561</v>
      </c>
      <c r="O54" s="172">
        <f t="shared" si="0"/>
        <v>38561</v>
      </c>
    </row>
    <row r="55" spans="1:15" ht="63" x14ac:dyDescent="0.25">
      <c r="A55" s="165" t="s">
        <v>186</v>
      </c>
      <c r="B55" s="166" t="s">
        <v>187</v>
      </c>
      <c r="C55" s="167" t="s">
        <v>183</v>
      </c>
      <c r="D55" s="167">
        <v>0.01</v>
      </c>
      <c r="E55" s="168" t="s">
        <v>21</v>
      </c>
      <c r="F55" s="169"/>
      <c r="G55" s="170">
        <v>17972</v>
      </c>
      <c r="H55" s="170">
        <v>18638</v>
      </c>
      <c r="I55" s="167">
        <v>19328</v>
      </c>
      <c r="J55" s="167">
        <v>21911</v>
      </c>
      <c r="K55" s="167">
        <v>24405</v>
      </c>
      <c r="L55" s="167">
        <v>28687</v>
      </c>
      <c r="M55" s="172">
        <f>L55</f>
        <v>28687</v>
      </c>
      <c r="N55" s="172">
        <f t="shared" si="0"/>
        <v>28687</v>
      </c>
      <c r="O55" s="172">
        <f t="shared" si="0"/>
        <v>28687</v>
      </c>
    </row>
    <row r="56" spans="1:15" ht="31.5" x14ac:dyDescent="0.25">
      <c r="A56" s="35" t="s">
        <v>188</v>
      </c>
      <c r="B56" s="163" t="s">
        <v>189</v>
      </c>
      <c r="C56" s="128" t="s">
        <v>190</v>
      </c>
      <c r="D56" s="128">
        <v>0.02</v>
      </c>
      <c r="E56" s="173" t="s">
        <v>102</v>
      </c>
      <c r="F56" s="130"/>
      <c r="G56" s="11">
        <v>25.02</v>
      </c>
      <c r="H56" s="11">
        <v>25</v>
      </c>
      <c r="I56" s="128">
        <v>25</v>
      </c>
      <c r="J56" s="128">
        <v>23.9</v>
      </c>
      <c r="K56" s="128">
        <v>24</v>
      </c>
      <c r="L56" s="128">
        <v>24</v>
      </c>
      <c r="M56" s="128">
        <v>24</v>
      </c>
      <c r="N56" s="128">
        <v>24</v>
      </c>
      <c r="O56" s="128">
        <v>24</v>
      </c>
    </row>
    <row r="57" spans="1:15" ht="31.5" x14ac:dyDescent="0.25">
      <c r="A57" s="35" t="s">
        <v>191</v>
      </c>
      <c r="B57" s="163" t="s">
        <v>192</v>
      </c>
      <c r="C57" s="128" t="s">
        <v>190</v>
      </c>
      <c r="D57" s="128">
        <v>0.02</v>
      </c>
      <c r="E57" s="173" t="s">
        <v>102</v>
      </c>
      <c r="F57" s="130"/>
      <c r="G57" s="11">
        <v>18.82</v>
      </c>
      <c r="H57" s="11">
        <v>18.82</v>
      </c>
      <c r="I57" s="128">
        <v>18.8</v>
      </c>
      <c r="J57" s="128">
        <v>17</v>
      </c>
      <c r="K57" s="128">
        <v>17</v>
      </c>
      <c r="L57" s="128">
        <v>17</v>
      </c>
      <c r="M57" s="128">
        <v>17</v>
      </c>
      <c r="N57" s="128">
        <v>17</v>
      </c>
      <c r="O57" s="128">
        <v>17</v>
      </c>
    </row>
    <row r="58" spans="1:15" ht="78.75" x14ac:dyDescent="0.25">
      <c r="A58" s="128" t="s">
        <v>193</v>
      </c>
      <c r="B58" s="163" t="s">
        <v>194</v>
      </c>
      <c r="C58" s="128" t="s">
        <v>195</v>
      </c>
      <c r="D58" s="128">
        <v>0.02</v>
      </c>
      <c r="E58" s="173" t="s">
        <v>102</v>
      </c>
      <c r="F58" s="130"/>
      <c r="G58" s="11">
        <v>0.7</v>
      </c>
      <c r="H58" s="11">
        <v>0.7</v>
      </c>
      <c r="I58" s="128">
        <v>0.7</v>
      </c>
      <c r="J58" s="128">
        <v>0.7</v>
      </c>
      <c r="K58" s="128">
        <v>0.7</v>
      </c>
      <c r="L58" s="128">
        <v>0.7</v>
      </c>
      <c r="M58" s="128">
        <v>0.7</v>
      </c>
      <c r="N58" s="128">
        <v>0.7</v>
      </c>
      <c r="O58" s="128">
        <v>0.7</v>
      </c>
    </row>
    <row r="59" spans="1:15" ht="31.5" x14ac:dyDescent="0.25">
      <c r="A59" s="128" t="s">
        <v>196</v>
      </c>
      <c r="B59" s="163" t="s">
        <v>197</v>
      </c>
      <c r="C59" s="128" t="s">
        <v>132</v>
      </c>
      <c r="D59" s="128">
        <v>0.03</v>
      </c>
      <c r="E59" s="173" t="s">
        <v>21</v>
      </c>
      <c r="F59" s="130"/>
      <c r="G59" s="128">
        <v>18</v>
      </c>
      <c r="H59" s="128">
        <v>18</v>
      </c>
      <c r="I59" s="128">
        <v>18</v>
      </c>
      <c r="J59" s="128">
        <v>14</v>
      </c>
      <c r="K59" s="128">
        <v>14</v>
      </c>
      <c r="L59" s="128">
        <v>14</v>
      </c>
      <c r="M59" s="128">
        <v>14</v>
      </c>
      <c r="N59" s="128">
        <v>14</v>
      </c>
      <c r="O59" s="128">
        <v>14</v>
      </c>
    </row>
    <row r="60" spans="1:15" ht="66" customHeight="1" x14ac:dyDescent="0.25">
      <c r="A60" s="128" t="s">
        <v>198</v>
      </c>
      <c r="B60" s="163" t="s">
        <v>199</v>
      </c>
      <c r="C60" s="128" t="s">
        <v>200</v>
      </c>
      <c r="D60" s="128">
        <v>0.01</v>
      </c>
      <c r="E60" s="173" t="s">
        <v>201</v>
      </c>
      <c r="F60" s="130"/>
      <c r="G60" s="128">
        <v>5</v>
      </c>
      <c r="H60" s="128">
        <v>5</v>
      </c>
      <c r="I60" s="128">
        <v>5</v>
      </c>
      <c r="J60" s="128">
        <v>5</v>
      </c>
      <c r="K60" s="128">
        <v>5</v>
      </c>
      <c r="L60" s="128">
        <v>5</v>
      </c>
      <c r="M60" s="128">
        <v>5</v>
      </c>
      <c r="N60" s="128">
        <v>5</v>
      </c>
      <c r="O60" s="128">
        <v>5</v>
      </c>
    </row>
    <row r="61" spans="1:15" ht="47.25" x14ac:dyDescent="0.25">
      <c r="A61" s="128" t="s">
        <v>202</v>
      </c>
      <c r="B61" s="163" t="s">
        <v>203</v>
      </c>
      <c r="C61" s="128" t="s">
        <v>200</v>
      </c>
      <c r="D61" s="128">
        <v>0.01</v>
      </c>
      <c r="E61" s="173" t="s">
        <v>201</v>
      </c>
      <c r="F61" s="130"/>
      <c r="G61" s="34">
        <v>5</v>
      </c>
      <c r="H61" s="34">
        <v>5</v>
      </c>
      <c r="I61" s="34">
        <v>5</v>
      </c>
      <c r="J61" s="34">
        <v>5</v>
      </c>
      <c r="K61" s="34">
        <v>5</v>
      </c>
      <c r="L61" s="34">
        <v>5</v>
      </c>
      <c r="M61" s="34">
        <v>5</v>
      </c>
      <c r="N61" s="34">
        <v>5</v>
      </c>
      <c r="O61" s="34">
        <v>5</v>
      </c>
    </row>
    <row r="62" spans="1:15" ht="126" x14ac:dyDescent="0.25">
      <c r="A62" s="128" t="s">
        <v>204</v>
      </c>
      <c r="B62" s="163" t="s">
        <v>205</v>
      </c>
      <c r="C62" s="128" t="s">
        <v>200</v>
      </c>
      <c r="D62" s="128">
        <v>0.01</v>
      </c>
      <c r="E62" s="173" t="s">
        <v>201</v>
      </c>
      <c r="F62" s="130"/>
      <c r="G62" s="34">
        <v>5</v>
      </c>
      <c r="H62" s="34">
        <v>5</v>
      </c>
      <c r="I62" s="34">
        <v>5</v>
      </c>
      <c r="J62" s="34">
        <v>5</v>
      </c>
      <c r="K62" s="34">
        <v>5</v>
      </c>
      <c r="L62" s="34">
        <v>5</v>
      </c>
      <c r="M62" s="34">
        <v>5</v>
      </c>
      <c r="N62" s="34">
        <v>5</v>
      </c>
      <c r="O62" s="34">
        <v>5</v>
      </c>
    </row>
    <row r="63" spans="1:15" ht="94.5" x14ac:dyDescent="0.25">
      <c r="A63" s="128" t="s">
        <v>206</v>
      </c>
      <c r="B63" s="163" t="s">
        <v>207</v>
      </c>
      <c r="C63" s="128" t="s">
        <v>200</v>
      </c>
      <c r="D63" s="128">
        <v>0.01</v>
      </c>
      <c r="E63" s="173" t="s">
        <v>201</v>
      </c>
      <c r="F63" s="130"/>
      <c r="G63" s="34">
        <v>5</v>
      </c>
      <c r="H63" s="34">
        <v>5</v>
      </c>
      <c r="I63" s="34">
        <v>5</v>
      </c>
      <c r="J63" s="34">
        <v>5</v>
      </c>
      <c r="K63" s="34">
        <v>5</v>
      </c>
      <c r="L63" s="34">
        <v>5</v>
      </c>
      <c r="M63" s="34">
        <v>5</v>
      </c>
      <c r="N63" s="34">
        <v>5</v>
      </c>
      <c r="O63" s="34">
        <v>5</v>
      </c>
    </row>
    <row r="64" spans="1:15" ht="47.25" x14ac:dyDescent="0.25">
      <c r="A64" s="128" t="s">
        <v>208</v>
      </c>
      <c r="B64" s="174" t="s">
        <v>209</v>
      </c>
      <c r="C64" s="128" t="s">
        <v>200</v>
      </c>
      <c r="D64" s="128">
        <v>0.01</v>
      </c>
      <c r="E64" s="173" t="s">
        <v>201</v>
      </c>
      <c r="F64" s="130"/>
      <c r="G64" s="34">
        <v>5</v>
      </c>
      <c r="H64" s="34">
        <v>5</v>
      </c>
      <c r="I64" s="34">
        <v>5</v>
      </c>
      <c r="J64" s="34">
        <v>5</v>
      </c>
      <c r="K64" s="34">
        <v>5</v>
      </c>
      <c r="L64" s="34">
        <v>5</v>
      </c>
      <c r="M64" s="34">
        <v>5</v>
      </c>
      <c r="N64" s="34">
        <v>5</v>
      </c>
      <c r="O64" s="34">
        <v>5</v>
      </c>
    </row>
    <row r="65" spans="1:15" ht="47.25" x14ac:dyDescent="0.25">
      <c r="A65" s="128" t="s">
        <v>210</v>
      </c>
      <c r="B65" s="174" t="s">
        <v>211</v>
      </c>
      <c r="C65" s="128" t="s">
        <v>200</v>
      </c>
      <c r="D65" s="128">
        <v>0.01</v>
      </c>
      <c r="E65" s="173" t="s">
        <v>201</v>
      </c>
      <c r="F65" s="130"/>
      <c r="G65" s="34">
        <v>5</v>
      </c>
      <c r="H65" s="34">
        <v>5</v>
      </c>
      <c r="I65" s="34">
        <v>5</v>
      </c>
      <c r="J65" s="34">
        <v>5</v>
      </c>
      <c r="K65" s="34">
        <v>5</v>
      </c>
      <c r="L65" s="34">
        <v>5</v>
      </c>
      <c r="M65" s="34">
        <v>5</v>
      </c>
      <c r="N65" s="34">
        <v>5</v>
      </c>
      <c r="O65" s="34">
        <v>5</v>
      </c>
    </row>
    <row r="66" spans="1:15" ht="47.25" x14ac:dyDescent="0.25">
      <c r="A66" s="35" t="s">
        <v>212</v>
      </c>
      <c r="B66" s="163" t="s">
        <v>213</v>
      </c>
      <c r="C66" s="128" t="s">
        <v>200</v>
      </c>
      <c r="D66" s="128">
        <v>0.01</v>
      </c>
      <c r="E66" s="173" t="s">
        <v>201</v>
      </c>
      <c r="F66" s="130"/>
      <c r="G66" s="34">
        <v>5</v>
      </c>
      <c r="H66" s="34">
        <v>5</v>
      </c>
      <c r="I66" s="34">
        <v>5</v>
      </c>
      <c r="J66" s="34">
        <v>5</v>
      </c>
      <c r="K66" s="34">
        <v>5</v>
      </c>
      <c r="L66" s="34">
        <v>5</v>
      </c>
      <c r="M66" s="34">
        <v>5</v>
      </c>
      <c r="N66" s="34">
        <v>5</v>
      </c>
      <c r="O66" s="34">
        <v>5</v>
      </c>
    </row>
    <row r="67" spans="1:15" ht="47.25" x14ac:dyDescent="0.25">
      <c r="A67" s="35" t="s">
        <v>214</v>
      </c>
      <c r="B67" s="163" t="s">
        <v>215</v>
      </c>
      <c r="C67" s="128" t="s">
        <v>200</v>
      </c>
      <c r="D67" s="128">
        <v>0.01</v>
      </c>
      <c r="E67" s="173" t="s">
        <v>201</v>
      </c>
      <c r="F67" s="130"/>
      <c r="G67" s="34">
        <v>5</v>
      </c>
      <c r="H67" s="34">
        <v>5</v>
      </c>
      <c r="I67" s="34">
        <v>5</v>
      </c>
      <c r="J67" s="34">
        <v>5</v>
      </c>
      <c r="K67" s="34">
        <v>5</v>
      </c>
      <c r="L67" s="34">
        <v>5</v>
      </c>
      <c r="M67" s="34">
        <v>5</v>
      </c>
      <c r="N67" s="34">
        <v>5</v>
      </c>
      <c r="O67" s="34">
        <v>5</v>
      </c>
    </row>
    <row r="68" spans="1:15" ht="47.25" x14ac:dyDescent="0.25">
      <c r="A68" s="35" t="s">
        <v>216</v>
      </c>
      <c r="B68" s="163" t="s">
        <v>217</v>
      </c>
      <c r="C68" s="128" t="s">
        <v>200</v>
      </c>
      <c r="D68" s="128">
        <v>0.01</v>
      </c>
      <c r="E68" s="173" t="s">
        <v>201</v>
      </c>
      <c r="F68" s="130"/>
      <c r="G68" s="34">
        <v>5</v>
      </c>
      <c r="H68" s="34">
        <v>5</v>
      </c>
      <c r="I68" s="34">
        <v>5</v>
      </c>
      <c r="J68" s="34">
        <v>5</v>
      </c>
      <c r="K68" s="34">
        <v>5</v>
      </c>
      <c r="L68" s="34">
        <v>5</v>
      </c>
      <c r="M68" s="34">
        <v>5</v>
      </c>
      <c r="N68" s="34">
        <v>5</v>
      </c>
      <c r="O68" s="34">
        <v>5</v>
      </c>
    </row>
    <row r="69" spans="1:15" ht="47.25" x14ac:dyDescent="0.25">
      <c r="A69" s="35" t="s">
        <v>218</v>
      </c>
      <c r="B69" s="163" t="s">
        <v>219</v>
      </c>
      <c r="C69" s="128" t="s">
        <v>200</v>
      </c>
      <c r="D69" s="128">
        <v>0.01</v>
      </c>
      <c r="E69" s="173" t="s">
        <v>201</v>
      </c>
      <c r="F69" s="130"/>
      <c r="G69" s="34">
        <v>5</v>
      </c>
      <c r="H69" s="34">
        <v>5</v>
      </c>
      <c r="I69" s="34">
        <v>5</v>
      </c>
      <c r="J69" s="34">
        <v>5</v>
      </c>
      <c r="K69" s="34">
        <v>5</v>
      </c>
      <c r="L69" s="34">
        <v>5</v>
      </c>
      <c r="M69" s="34">
        <v>5</v>
      </c>
      <c r="N69" s="34">
        <v>5</v>
      </c>
      <c r="O69" s="34">
        <v>5</v>
      </c>
    </row>
    <row r="70" spans="1:15" ht="47.25" x14ac:dyDescent="0.25">
      <c r="A70" s="35" t="s">
        <v>220</v>
      </c>
      <c r="B70" s="163" t="s">
        <v>221</v>
      </c>
      <c r="C70" s="128" t="s">
        <v>200</v>
      </c>
      <c r="D70" s="128">
        <v>0.01</v>
      </c>
      <c r="E70" s="173" t="s">
        <v>201</v>
      </c>
      <c r="F70" s="130"/>
      <c r="G70" s="34">
        <v>5</v>
      </c>
      <c r="H70" s="34">
        <v>5</v>
      </c>
      <c r="I70" s="34">
        <v>5</v>
      </c>
      <c r="J70" s="34">
        <v>5</v>
      </c>
      <c r="K70" s="34">
        <v>5</v>
      </c>
      <c r="L70" s="34">
        <v>5</v>
      </c>
      <c r="M70" s="34">
        <v>5</v>
      </c>
      <c r="N70" s="34">
        <v>5</v>
      </c>
      <c r="O70" s="34">
        <v>5</v>
      </c>
    </row>
    <row r="71" spans="1:15" s="81" customFormat="1" x14ac:dyDescent="0.25">
      <c r="A71" s="140" t="s">
        <v>222</v>
      </c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  <c r="N71" s="140"/>
      <c r="O71" s="141"/>
    </row>
    <row r="72" spans="1:15" s="177" customFormat="1" ht="47.25" x14ac:dyDescent="0.25">
      <c r="A72" s="175" t="s">
        <v>223</v>
      </c>
      <c r="B72" s="176" t="s">
        <v>224</v>
      </c>
      <c r="C72" s="36" t="s">
        <v>97</v>
      </c>
      <c r="D72" s="128">
        <v>0.03</v>
      </c>
      <c r="E72" s="128" t="s">
        <v>102</v>
      </c>
      <c r="F72" s="175"/>
      <c r="G72" s="12">
        <v>70</v>
      </c>
      <c r="H72" s="12">
        <v>70</v>
      </c>
      <c r="I72" s="12">
        <v>71</v>
      </c>
      <c r="J72" s="12">
        <v>71</v>
      </c>
      <c r="K72" s="12">
        <v>71</v>
      </c>
      <c r="L72" s="128">
        <v>71</v>
      </c>
      <c r="M72" s="128">
        <v>71</v>
      </c>
      <c r="N72" s="128">
        <v>71</v>
      </c>
      <c r="O72" s="128">
        <v>71</v>
      </c>
    </row>
    <row r="73" spans="1:15" s="177" customFormat="1" x14ac:dyDescent="0.25">
      <c r="A73" s="178" t="s">
        <v>225</v>
      </c>
      <c r="B73" s="179" t="s">
        <v>226</v>
      </c>
      <c r="C73" s="180" t="s">
        <v>227</v>
      </c>
      <c r="D73" s="125">
        <v>0.03</v>
      </c>
      <c r="E73" s="125" t="s">
        <v>102</v>
      </c>
      <c r="F73" s="175"/>
      <c r="G73" s="125" t="s">
        <v>228</v>
      </c>
      <c r="H73" s="125" t="s">
        <v>229</v>
      </c>
      <c r="I73" s="125" t="s">
        <v>230</v>
      </c>
      <c r="J73" s="125" t="s">
        <v>231</v>
      </c>
      <c r="K73" s="125" t="s">
        <v>232</v>
      </c>
      <c r="L73" s="125" t="s">
        <v>233</v>
      </c>
      <c r="M73" s="125" t="s">
        <v>234</v>
      </c>
      <c r="N73" s="125" t="s">
        <v>234</v>
      </c>
      <c r="O73" s="125" t="s">
        <v>234</v>
      </c>
    </row>
    <row r="74" spans="1:15" s="81" customFormat="1" x14ac:dyDescent="0.25">
      <c r="A74" s="178"/>
      <c r="B74" s="179"/>
      <c r="C74" s="180"/>
      <c r="D74" s="125"/>
      <c r="E74" s="125"/>
      <c r="F74" s="175"/>
      <c r="G74" s="125"/>
      <c r="H74" s="125"/>
      <c r="I74" s="125"/>
      <c r="J74" s="125"/>
      <c r="K74" s="125"/>
      <c r="L74" s="125"/>
      <c r="M74" s="125"/>
      <c r="N74" s="125"/>
      <c r="O74" s="125"/>
    </row>
    <row r="76" spans="1:15" x14ac:dyDescent="0.25">
      <c r="A76" s="181" t="s">
        <v>33</v>
      </c>
      <c r="B76" s="181"/>
      <c r="C76" s="181"/>
      <c r="D76" s="181"/>
      <c r="E76" s="181"/>
      <c r="F76" s="181"/>
      <c r="G76" s="181"/>
      <c r="H76" s="181"/>
      <c r="I76" s="181"/>
      <c r="J76" s="182" t="s">
        <v>34</v>
      </c>
      <c r="K76" s="182"/>
      <c r="L76" s="182"/>
      <c r="M76" s="182"/>
      <c r="N76" s="183"/>
      <c r="O76" s="183"/>
    </row>
  </sheetData>
  <mergeCells count="51">
    <mergeCell ref="K73:K74"/>
    <mergeCell ref="L73:L74"/>
    <mergeCell ref="M73:M74"/>
    <mergeCell ref="N73:N74"/>
    <mergeCell ref="O73:O74"/>
    <mergeCell ref="A76:I76"/>
    <mergeCell ref="J76:M76"/>
    <mergeCell ref="A71:N71"/>
    <mergeCell ref="A73:A74"/>
    <mergeCell ref="B73:B74"/>
    <mergeCell ref="C73:C74"/>
    <mergeCell ref="D73:D74"/>
    <mergeCell ref="E73:E74"/>
    <mergeCell ref="G73:G74"/>
    <mergeCell ref="H73:H74"/>
    <mergeCell ref="I73:I74"/>
    <mergeCell ref="J73:J74"/>
    <mergeCell ref="A44:N44"/>
    <mergeCell ref="A45:N45"/>
    <mergeCell ref="A47:N47"/>
    <mergeCell ref="A50:N50"/>
    <mergeCell ref="A51:N51"/>
    <mergeCell ref="A52:N52"/>
    <mergeCell ref="A19:N19"/>
    <mergeCell ref="A20:N20"/>
    <mergeCell ref="A26:N26"/>
    <mergeCell ref="A37:N37"/>
    <mergeCell ref="A41:N41"/>
    <mergeCell ref="A43:N43"/>
    <mergeCell ref="O3:O5"/>
    <mergeCell ref="A6:N6"/>
    <mergeCell ref="A11:N11"/>
    <mergeCell ref="A12:N12"/>
    <mergeCell ref="A13:N13"/>
    <mergeCell ref="A18:N18"/>
    <mergeCell ref="I3:I5"/>
    <mergeCell ref="J3:J5"/>
    <mergeCell ref="K3:K5"/>
    <mergeCell ref="L3:L5"/>
    <mergeCell ref="M3:M5"/>
    <mergeCell ref="N3:N5"/>
    <mergeCell ref="G1:M1"/>
    <mergeCell ref="A2:M2"/>
    <mergeCell ref="A3:A5"/>
    <mergeCell ref="B3:B5"/>
    <mergeCell ref="C3:C5"/>
    <mergeCell ref="D3:D5"/>
    <mergeCell ref="E3:E5"/>
    <mergeCell ref="F3:F5"/>
    <mergeCell ref="G3:G5"/>
    <mergeCell ref="H3:H5"/>
  </mergeCells>
  <pageMargins left="0.31496062992125984" right="0.11811023622047245" top="0.55118110236220474" bottom="0.19685039370078741" header="0.31496062992125984" footer="0.31496062992125984"/>
  <pageSetup paperSize="9" scale="62" fitToHeight="99" orientation="landscape" r:id="rId1"/>
  <headerFooter differentFirst="1"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  <pageSetUpPr fitToPage="1"/>
  </sheetPr>
  <dimension ref="A1:Q17"/>
  <sheetViews>
    <sheetView view="pageBreakPreview" zoomScale="79" zoomScaleNormal="100" zoomScaleSheetLayoutView="79" workbookViewId="0">
      <selection activeCell="J14" sqref="J14"/>
    </sheetView>
  </sheetViews>
  <sheetFormatPr defaultRowHeight="15.75" x14ac:dyDescent="0.25"/>
  <cols>
    <col min="1" max="1" width="5.140625" style="45" customWidth="1"/>
    <col min="2" max="2" width="57.42578125" style="1" customWidth="1"/>
    <col min="3" max="3" width="11.7109375" style="1" customWidth="1"/>
    <col min="4" max="4" width="10.42578125" style="1" hidden="1" customWidth="1"/>
    <col min="5" max="7" width="10.5703125" style="1" hidden="1" customWidth="1"/>
    <col min="8" max="15" width="10.5703125" style="1" customWidth="1"/>
    <col min="16" max="16" width="10.42578125" style="1" customWidth="1"/>
    <col min="17" max="17" width="11.140625" style="1" customWidth="1"/>
    <col min="18" max="16384" width="9.140625" style="1"/>
  </cols>
  <sheetData>
    <row r="1" spans="1:17" ht="78" customHeight="1" x14ac:dyDescent="0.25">
      <c r="K1" s="185"/>
      <c r="L1" s="185"/>
      <c r="M1" s="186" t="s">
        <v>235</v>
      </c>
      <c r="N1" s="186"/>
      <c r="O1" s="186"/>
      <c r="P1" s="186"/>
      <c r="Q1" s="186"/>
    </row>
    <row r="2" spans="1:17" ht="34.5" customHeight="1" x14ac:dyDescent="0.25">
      <c r="A2" s="187" t="s">
        <v>236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</row>
    <row r="3" spans="1:17" ht="17.25" customHeight="1" x14ac:dyDescent="0.25">
      <c r="A3" s="7" t="s">
        <v>89</v>
      </c>
      <c r="B3" s="7" t="s">
        <v>237</v>
      </c>
      <c r="C3" s="7" t="s">
        <v>91</v>
      </c>
      <c r="D3" s="50" t="s">
        <v>238</v>
      </c>
      <c r="E3" s="50" t="s">
        <v>94</v>
      </c>
      <c r="F3" s="50" t="s">
        <v>239</v>
      </c>
      <c r="G3" s="40" t="s">
        <v>240</v>
      </c>
      <c r="H3" s="13" t="s">
        <v>41</v>
      </c>
      <c r="I3" s="188" t="s">
        <v>241</v>
      </c>
      <c r="J3" s="189"/>
      <c r="K3" s="188" t="s">
        <v>242</v>
      </c>
      <c r="L3" s="190"/>
      <c r="M3" s="190"/>
      <c r="N3" s="190"/>
      <c r="O3" s="190"/>
      <c r="P3" s="190"/>
      <c r="Q3" s="189"/>
    </row>
    <row r="4" spans="1:17" ht="33" customHeight="1" x14ac:dyDescent="0.25">
      <c r="A4" s="7"/>
      <c r="B4" s="7"/>
      <c r="C4" s="7"/>
      <c r="D4" s="50"/>
      <c r="E4" s="50"/>
      <c r="F4" s="50"/>
      <c r="G4" s="75"/>
      <c r="H4" s="31"/>
      <c r="I4" s="11" t="s">
        <v>42</v>
      </c>
      <c r="J4" s="11" t="s">
        <v>43</v>
      </c>
      <c r="K4" s="11" t="s">
        <v>44</v>
      </c>
      <c r="L4" s="11" t="s">
        <v>45</v>
      </c>
      <c r="M4" s="11" t="s">
        <v>46</v>
      </c>
      <c r="N4" s="11" t="s">
        <v>47</v>
      </c>
      <c r="O4" s="11" t="s">
        <v>48</v>
      </c>
      <c r="P4" s="11" t="s">
        <v>49</v>
      </c>
      <c r="Q4" s="16" t="s">
        <v>243</v>
      </c>
    </row>
    <row r="5" spans="1:17" ht="55.15" customHeight="1" x14ac:dyDescent="0.25">
      <c r="A5" s="191" t="s">
        <v>95</v>
      </c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3"/>
    </row>
    <row r="6" spans="1:17" ht="56.25" customHeight="1" x14ac:dyDescent="0.25">
      <c r="A6" s="11">
        <v>1</v>
      </c>
      <c r="B6" s="127" t="s">
        <v>96</v>
      </c>
      <c r="C6" s="34" t="s">
        <v>97</v>
      </c>
      <c r="D6" s="194">
        <v>54.1</v>
      </c>
      <c r="E6" s="137">
        <v>2.34</v>
      </c>
      <c r="F6" s="131">
        <v>94</v>
      </c>
      <c r="G6" s="131">
        <v>94.5</v>
      </c>
      <c r="H6" s="131">
        <v>95</v>
      </c>
      <c r="I6" s="131">
        <v>95</v>
      </c>
      <c r="J6" s="131">
        <v>96</v>
      </c>
      <c r="K6" s="131">
        <v>96.2</v>
      </c>
      <c r="L6" s="131">
        <v>96.3</v>
      </c>
      <c r="M6" s="131">
        <v>96.4</v>
      </c>
      <c r="N6" s="131">
        <v>96.4</v>
      </c>
      <c r="O6" s="131">
        <v>96.5</v>
      </c>
      <c r="P6" s="131">
        <v>96.5</v>
      </c>
      <c r="Q6" s="131">
        <v>96.6</v>
      </c>
    </row>
    <row r="7" spans="1:17" ht="108" customHeight="1" x14ac:dyDescent="0.25">
      <c r="A7" s="12">
        <v>2</v>
      </c>
      <c r="B7" s="127" t="s">
        <v>101</v>
      </c>
      <c r="C7" s="34" t="s">
        <v>97</v>
      </c>
      <c r="D7" s="128" t="e">
        <f>#REF!</f>
        <v>#REF!</v>
      </c>
      <c r="E7" s="137">
        <v>60.5</v>
      </c>
      <c r="F7" s="36">
        <v>82.4</v>
      </c>
      <c r="G7" s="36">
        <v>86.6</v>
      </c>
      <c r="H7" s="36">
        <v>91.3</v>
      </c>
      <c r="I7" s="36">
        <v>100</v>
      </c>
      <c r="J7" s="36">
        <v>100</v>
      </c>
      <c r="K7" s="36">
        <v>100</v>
      </c>
      <c r="L7" s="36">
        <v>100</v>
      </c>
      <c r="M7" s="36">
        <v>100</v>
      </c>
      <c r="N7" s="36">
        <v>100</v>
      </c>
      <c r="O7" s="36">
        <v>100</v>
      </c>
      <c r="P7" s="36">
        <v>100</v>
      </c>
      <c r="Q7" s="36">
        <v>100</v>
      </c>
    </row>
    <row r="8" spans="1:17" ht="89.25" customHeight="1" x14ac:dyDescent="0.25">
      <c r="A8" s="11">
        <v>3</v>
      </c>
      <c r="B8" s="134" t="s">
        <v>104</v>
      </c>
      <c r="C8" s="128" t="s">
        <v>97</v>
      </c>
      <c r="D8" s="195">
        <v>95.6</v>
      </c>
      <c r="E8" s="196">
        <v>96.7</v>
      </c>
      <c r="F8" s="135">
        <v>98.53</v>
      </c>
      <c r="G8" s="135">
        <v>98.04</v>
      </c>
      <c r="H8" s="135">
        <v>98.53</v>
      </c>
      <c r="I8" s="135">
        <v>98.6</v>
      </c>
      <c r="J8" s="135">
        <v>98.6</v>
      </c>
      <c r="K8" s="135">
        <v>100</v>
      </c>
      <c r="L8" s="135">
        <v>100</v>
      </c>
      <c r="M8" s="135">
        <v>100</v>
      </c>
      <c r="N8" s="135">
        <v>100</v>
      </c>
      <c r="O8" s="135">
        <v>100</v>
      </c>
      <c r="P8" s="135">
        <v>100</v>
      </c>
      <c r="Q8" s="135">
        <v>100</v>
      </c>
    </row>
    <row r="9" spans="1:17" ht="85.5" customHeight="1" x14ac:dyDescent="0.25">
      <c r="A9" s="11">
        <v>4</v>
      </c>
      <c r="B9" s="127" t="s">
        <v>106</v>
      </c>
      <c r="C9" s="34" t="s">
        <v>244</v>
      </c>
      <c r="D9" s="195"/>
      <c r="E9" s="196"/>
      <c r="F9" s="138">
        <v>67</v>
      </c>
      <c r="G9" s="138">
        <v>67</v>
      </c>
      <c r="H9" s="138">
        <v>67</v>
      </c>
      <c r="I9" s="138">
        <v>83</v>
      </c>
      <c r="J9" s="138">
        <v>83</v>
      </c>
      <c r="K9" s="138">
        <v>83</v>
      </c>
      <c r="L9" s="138">
        <v>83</v>
      </c>
      <c r="M9" s="138">
        <v>83</v>
      </c>
      <c r="N9" s="138">
        <v>100</v>
      </c>
      <c r="O9" s="138">
        <v>100</v>
      </c>
      <c r="P9" s="138">
        <v>100</v>
      </c>
      <c r="Q9" s="138">
        <v>100</v>
      </c>
    </row>
    <row r="10" spans="1:17" ht="35.25" customHeight="1" x14ac:dyDescent="0.25">
      <c r="A10" s="197" t="s">
        <v>33</v>
      </c>
      <c r="B10" s="197"/>
      <c r="C10" s="197"/>
      <c r="D10" s="197"/>
      <c r="E10" s="197"/>
      <c r="F10" s="198"/>
      <c r="G10" s="81"/>
      <c r="H10" s="81"/>
      <c r="I10" s="81"/>
      <c r="J10" s="81"/>
      <c r="K10" s="81"/>
      <c r="L10" s="81"/>
      <c r="M10" s="199" t="s">
        <v>34</v>
      </c>
      <c r="N10" s="199"/>
      <c r="O10" s="199"/>
      <c r="P10" s="199"/>
      <c r="Q10" s="200"/>
    </row>
    <row r="15" spans="1:17" x14ac:dyDescent="0.25">
      <c r="D15" s="201"/>
      <c r="E15" s="201"/>
      <c r="F15" s="202"/>
      <c r="G15" s="201"/>
    </row>
    <row r="16" spans="1:17" x14ac:dyDescent="0.25">
      <c r="D16" s="203"/>
      <c r="E16" s="204"/>
      <c r="F16" s="205"/>
      <c r="G16" s="204"/>
    </row>
    <row r="17" spans="4:7" x14ac:dyDescent="0.25">
      <c r="D17" s="206"/>
      <c r="E17" s="206"/>
      <c r="F17" s="207"/>
      <c r="G17" s="206"/>
    </row>
  </sheetData>
  <mergeCells count="15">
    <mergeCell ref="I3:J3"/>
    <mergeCell ref="K3:Q3"/>
    <mergeCell ref="A5:Q5"/>
    <mergeCell ref="A10:E10"/>
    <mergeCell ref="M10:Q10"/>
    <mergeCell ref="M1:Q1"/>
    <mergeCell ref="A2:Q2"/>
    <mergeCell ref="A3:A4"/>
    <mergeCell ref="B3:B4"/>
    <mergeCell ref="C3:C4"/>
    <mergeCell ref="D3:D4"/>
    <mergeCell ref="E3:E4"/>
    <mergeCell ref="F3:F4"/>
    <mergeCell ref="G3:G4"/>
    <mergeCell ref="H3:H4"/>
  </mergeCells>
  <pageMargins left="0.55118110236220474" right="0.35433070866141736" top="0.55118110236220474" bottom="0.19685039370078741" header="0.51181102362204722" footer="0.51181102362204722"/>
  <pageSetup paperSize="9" scale="77" fitToHeight="3" orientation="landscape" useFirstPageNumber="1" r:id="rId1"/>
  <headerFooter differentFirst="1">
    <oddHeader>&amp;C&amp;P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Q13"/>
  <sheetViews>
    <sheetView view="pageBreakPreview" zoomScale="79" zoomScaleNormal="79" zoomScaleSheetLayoutView="79" workbookViewId="0">
      <pane ySplit="5" topLeftCell="A6" activePane="bottomLeft" state="frozen"/>
      <selection activeCell="Q12" sqref="Q12"/>
      <selection pane="bottomLeft" activeCell="C12" sqref="C12"/>
    </sheetView>
  </sheetViews>
  <sheetFormatPr defaultRowHeight="15.75" x14ac:dyDescent="0.25"/>
  <cols>
    <col min="1" max="1" width="6.28515625" style="184" customWidth="1"/>
    <col min="2" max="2" width="79.140625" style="53" customWidth="1"/>
    <col min="3" max="3" width="12" style="53" customWidth="1"/>
    <col min="4" max="7" width="11.42578125" style="53" customWidth="1"/>
    <col min="8" max="10" width="11.42578125" style="81" customWidth="1"/>
    <col min="11" max="11" width="9.140625" style="81"/>
    <col min="12" max="16384" width="9.140625" style="53"/>
  </cols>
  <sheetData>
    <row r="1" spans="1:17" ht="51.75" customHeight="1" x14ac:dyDescent="0.25">
      <c r="A1" s="118"/>
      <c r="B1" s="119"/>
      <c r="C1" s="120"/>
      <c r="E1" s="121" t="s">
        <v>245</v>
      </c>
      <c r="F1" s="121"/>
      <c r="G1" s="121"/>
      <c r="H1" s="121"/>
      <c r="I1" s="121"/>
      <c r="J1" s="121"/>
    </row>
    <row r="2" spans="1:17" ht="37.5" customHeight="1" x14ac:dyDescent="0.25">
      <c r="A2" s="208" t="s">
        <v>246</v>
      </c>
      <c r="B2" s="208"/>
      <c r="C2" s="208"/>
      <c r="D2" s="208"/>
      <c r="E2" s="208"/>
      <c r="F2" s="208"/>
      <c r="G2" s="208"/>
      <c r="H2" s="208"/>
      <c r="I2" s="208"/>
      <c r="J2" s="208"/>
    </row>
    <row r="3" spans="1:17" ht="25.5" customHeight="1" x14ac:dyDescent="0.25">
      <c r="A3" s="209" t="s">
        <v>89</v>
      </c>
      <c r="B3" s="210" t="s">
        <v>247</v>
      </c>
      <c r="C3" s="210" t="s">
        <v>91</v>
      </c>
      <c r="D3" s="40" t="s">
        <v>93</v>
      </c>
      <c r="E3" s="40" t="s">
        <v>41</v>
      </c>
      <c r="F3" s="40" t="s">
        <v>42</v>
      </c>
      <c r="G3" s="40" t="s">
        <v>43</v>
      </c>
      <c r="H3" s="60" t="s">
        <v>44</v>
      </c>
      <c r="I3" s="60" t="s">
        <v>45</v>
      </c>
      <c r="J3" s="60" t="s">
        <v>46</v>
      </c>
      <c r="K3" s="60" t="s">
        <v>47</v>
      </c>
      <c r="L3" s="60" t="s">
        <v>48</v>
      </c>
      <c r="M3" s="60" t="s">
        <v>49</v>
      </c>
    </row>
    <row r="4" spans="1:17" ht="25.5" customHeight="1" x14ac:dyDescent="0.25">
      <c r="A4" s="211"/>
      <c r="B4" s="212"/>
      <c r="C4" s="212"/>
      <c r="D4" s="42"/>
      <c r="E4" s="213"/>
      <c r="F4" s="214"/>
      <c r="G4" s="42"/>
      <c r="H4" s="62"/>
      <c r="I4" s="62"/>
      <c r="J4" s="62"/>
      <c r="K4" s="62"/>
      <c r="L4" s="62"/>
      <c r="M4" s="62"/>
    </row>
    <row r="5" spans="1:17" ht="25.5" customHeight="1" x14ac:dyDescent="0.25">
      <c r="A5" s="215"/>
      <c r="B5" s="216"/>
      <c r="C5" s="216"/>
      <c r="D5" s="75"/>
      <c r="E5" s="217"/>
      <c r="F5" s="218"/>
      <c r="G5" s="75"/>
      <c r="H5" s="219"/>
      <c r="I5" s="219"/>
      <c r="J5" s="219"/>
      <c r="K5" s="219"/>
      <c r="L5" s="219"/>
      <c r="M5" s="219"/>
    </row>
    <row r="6" spans="1:17" ht="39.75" customHeight="1" x14ac:dyDescent="0.25">
      <c r="A6" s="220" t="s">
        <v>248</v>
      </c>
      <c r="B6" s="221"/>
      <c r="C6" s="221"/>
      <c r="D6" s="221"/>
      <c r="E6" s="221"/>
      <c r="F6" s="221"/>
      <c r="G6" s="221"/>
      <c r="H6" s="221"/>
      <c r="I6" s="221"/>
      <c r="J6" s="221"/>
      <c r="K6" s="221"/>
      <c r="L6" s="221"/>
    </row>
    <row r="7" spans="1:17" ht="33" customHeight="1" x14ac:dyDescent="0.25">
      <c r="A7" s="222" t="s">
        <v>249</v>
      </c>
      <c r="B7" s="223"/>
      <c r="C7" s="223"/>
      <c r="D7" s="223"/>
      <c r="E7" s="223"/>
      <c r="F7" s="223"/>
      <c r="G7" s="223"/>
      <c r="H7" s="223"/>
      <c r="I7" s="223"/>
      <c r="J7" s="223"/>
      <c r="K7" s="223"/>
      <c r="L7" s="223"/>
    </row>
    <row r="8" spans="1:17" ht="47.25" customHeight="1" x14ac:dyDescent="0.25">
      <c r="A8" s="224" t="s">
        <v>250</v>
      </c>
      <c r="B8" s="161" t="s">
        <v>111</v>
      </c>
      <c r="C8" s="36" t="s">
        <v>97</v>
      </c>
      <c r="D8" s="142" t="s">
        <v>112</v>
      </c>
      <c r="E8" s="225">
        <v>90.1</v>
      </c>
      <c r="F8" s="226">
        <v>97.5</v>
      </c>
      <c r="G8" s="99">
        <v>100</v>
      </c>
      <c r="H8" s="99">
        <v>100</v>
      </c>
      <c r="I8" s="99">
        <v>100</v>
      </c>
      <c r="J8" s="99">
        <v>100</v>
      </c>
      <c r="K8" s="99">
        <v>100</v>
      </c>
      <c r="L8" s="99">
        <v>100</v>
      </c>
      <c r="M8" s="99">
        <v>100</v>
      </c>
    </row>
    <row r="9" spans="1:17" ht="72.75" customHeight="1" x14ac:dyDescent="0.25">
      <c r="A9" s="224" t="s">
        <v>251</v>
      </c>
      <c r="B9" s="161" t="s">
        <v>114</v>
      </c>
      <c r="C9" s="36" t="s">
        <v>97</v>
      </c>
      <c r="D9" s="227" t="s">
        <v>112</v>
      </c>
      <c r="E9" s="12">
        <v>85</v>
      </c>
      <c r="F9" s="88">
        <v>97</v>
      </c>
      <c r="G9" s="228">
        <v>100</v>
      </c>
      <c r="H9" s="228">
        <v>100</v>
      </c>
      <c r="I9" s="228">
        <v>100</v>
      </c>
      <c r="J9" s="228">
        <v>100</v>
      </c>
      <c r="K9" s="228">
        <v>100</v>
      </c>
      <c r="L9" s="99">
        <v>100</v>
      </c>
      <c r="M9" s="99">
        <v>100</v>
      </c>
    </row>
    <row r="10" spans="1:17" ht="105" customHeight="1" x14ac:dyDescent="0.25">
      <c r="A10" s="224" t="s">
        <v>252</v>
      </c>
      <c r="B10" s="161" t="s">
        <v>253</v>
      </c>
      <c r="C10" s="36" t="s">
        <v>97</v>
      </c>
      <c r="D10" s="142" t="s">
        <v>112</v>
      </c>
      <c r="E10" s="229">
        <v>0</v>
      </c>
      <c r="F10" s="230">
        <v>0</v>
      </c>
      <c r="G10" s="99">
        <v>0</v>
      </c>
      <c r="H10" s="99">
        <v>100</v>
      </c>
      <c r="I10" s="99">
        <v>100</v>
      </c>
      <c r="J10" s="99">
        <v>100</v>
      </c>
      <c r="K10" s="99">
        <v>100</v>
      </c>
      <c r="L10" s="99">
        <v>100</v>
      </c>
      <c r="M10" s="99">
        <v>100</v>
      </c>
      <c r="N10" s="231"/>
      <c r="O10" s="231"/>
      <c r="P10" s="231"/>
      <c r="Q10" s="231"/>
    </row>
    <row r="11" spans="1:17" ht="118.5" customHeight="1" x14ac:dyDescent="0.25">
      <c r="A11" s="224" t="s">
        <v>254</v>
      </c>
      <c r="B11" s="232" t="s">
        <v>255</v>
      </c>
      <c r="C11" s="36" t="s">
        <v>97</v>
      </c>
      <c r="D11" s="142" t="s">
        <v>112</v>
      </c>
      <c r="E11" s="34" t="s">
        <v>120</v>
      </c>
      <c r="F11" s="99" t="s">
        <v>121</v>
      </c>
      <c r="G11" s="99">
        <v>0</v>
      </c>
      <c r="H11" s="99">
        <v>0</v>
      </c>
      <c r="I11" s="99" t="s">
        <v>121</v>
      </c>
      <c r="J11" s="99" t="s">
        <v>121</v>
      </c>
      <c r="K11" s="99" t="s">
        <v>121</v>
      </c>
      <c r="L11" s="99" t="s">
        <v>121</v>
      </c>
      <c r="M11" s="99" t="s">
        <v>121</v>
      </c>
      <c r="N11" s="231"/>
      <c r="O11" s="231"/>
      <c r="P11" s="231"/>
      <c r="Q11" s="231"/>
    </row>
    <row r="12" spans="1:17" ht="20.25" customHeight="1" x14ac:dyDescent="0.25">
      <c r="A12" s="233"/>
      <c r="B12" s="234"/>
      <c r="C12" s="126"/>
      <c r="D12" s="235"/>
      <c r="E12" s="235"/>
      <c r="F12" s="235"/>
      <c r="G12" s="235"/>
      <c r="H12" s="236"/>
      <c r="I12" s="236"/>
      <c r="J12" s="236"/>
    </row>
    <row r="13" spans="1:17" ht="26.25" customHeight="1" x14ac:dyDescent="0.25">
      <c r="A13" s="237" t="s">
        <v>33</v>
      </c>
      <c r="B13" s="237"/>
      <c r="C13" s="237"/>
      <c r="G13" s="78"/>
      <c r="H13" s="238" t="s">
        <v>256</v>
      </c>
      <c r="I13" s="238"/>
      <c r="J13" s="239"/>
    </row>
  </sheetData>
  <mergeCells count="17">
    <mergeCell ref="A7:L7"/>
    <mergeCell ref="I3:I5"/>
    <mergeCell ref="J3:J5"/>
    <mergeCell ref="K3:K5"/>
    <mergeCell ref="L3:L5"/>
    <mergeCell ref="M3:M5"/>
    <mergeCell ref="A6:L6"/>
    <mergeCell ref="E1:J1"/>
    <mergeCell ref="A2:J2"/>
    <mergeCell ref="A3:A5"/>
    <mergeCell ref="B3:B5"/>
    <mergeCell ref="C3:C5"/>
    <mergeCell ref="D3:D5"/>
    <mergeCell ref="E3:E5"/>
    <mergeCell ref="F3:F5"/>
    <mergeCell ref="G3:G5"/>
    <mergeCell ref="H3:H5"/>
  </mergeCells>
  <pageMargins left="0.51181102362204722" right="0.51181102362204722" top="0.55118110236220474" bottom="0.35433070866141736" header="0.31496062992125984" footer="0.31496062992125984"/>
  <pageSetup paperSize="9" scale="67" fitToHeight="4" orientation="landscape" r:id="rId1"/>
  <headerFooter differentFirst="1">
    <oddHeader>&amp;C&amp;P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U95"/>
  <sheetViews>
    <sheetView view="pageBreakPreview" zoomScale="98" zoomScaleNormal="98" zoomScaleSheetLayoutView="98" workbookViewId="0">
      <pane xSplit="3" ySplit="6" topLeftCell="L49" activePane="bottomRight" state="frozen"/>
      <selection activeCell="Q12" sqref="Q12"/>
      <selection pane="topRight" activeCell="Q12" sqref="Q12"/>
      <selection pane="bottomLeft" activeCell="Q12" sqref="Q12"/>
      <selection pane="bottomRight" activeCell="N61" sqref="N61"/>
    </sheetView>
  </sheetViews>
  <sheetFormatPr defaultColWidth="9.28515625" defaultRowHeight="15.75" x14ac:dyDescent="0.25"/>
  <cols>
    <col min="1" max="1" width="8.42578125" style="317" hidden="1" customWidth="1"/>
    <col min="2" max="2" width="60.7109375" style="53" hidden="1" customWidth="1"/>
    <col min="3" max="3" width="33.7109375" style="318" customWidth="1"/>
    <col min="4" max="5" width="9.28515625" style="318"/>
    <col min="6" max="6" width="13.85546875" style="318" bestFit="1" customWidth="1"/>
    <col min="7" max="7" width="9.28515625" style="318"/>
    <col min="8" max="8" width="14.28515625" style="318" customWidth="1"/>
    <col min="9" max="10" width="17.7109375" style="53" customWidth="1"/>
    <col min="11" max="12" width="18.28515625" style="53" customWidth="1"/>
    <col min="13" max="16" width="18.28515625" style="81" customWidth="1"/>
    <col min="17" max="17" width="17.7109375" style="53" customWidth="1"/>
    <col min="18" max="18" width="55.5703125" style="53" customWidth="1"/>
    <col min="19" max="19" width="12" style="53" customWidth="1"/>
    <col min="20" max="20" width="15.42578125" style="53" customWidth="1"/>
    <col min="21" max="21" width="21.28515625" style="53" customWidth="1"/>
    <col min="22" max="16384" width="9.28515625" style="53"/>
  </cols>
  <sheetData>
    <row r="1" spans="1:21" s="202" customFormat="1" ht="75" customHeight="1" x14ac:dyDescent="0.25">
      <c r="A1" s="240"/>
      <c r="B1" s="241"/>
      <c r="C1" s="242"/>
      <c r="D1" s="242"/>
      <c r="E1" s="242"/>
      <c r="F1" s="242"/>
      <c r="G1" s="242"/>
      <c r="H1" s="242"/>
      <c r="I1" s="243"/>
      <c r="J1" s="243"/>
      <c r="M1" s="177"/>
      <c r="N1" s="177"/>
      <c r="O1" s="177"/>
      <c r="P1" s="177"/>
      <c r="Q1" s="244" t="s">
        <v>257</v>
      </c>
      <c r="R1" s="244"/>
      <c r="S1" s="245"/>
      <c r="T1" s="245"/>
      <c r="U1" s="245"/>
    </row>
    <row r="2" spans="1:21" s="202" customFormat="1" ht="23.25" customHeight="1" x14ac:dyDescent="0.25">
      <c r="A2" s="246" t="s">
        <v>258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</row>
    <row r="3" spans="1:21" s="202" customFormat="1" ht="24.75" customHeight="1" x14ac:dyDescent="0.25">
      <c r="A3" s="50" t="s">
        <v>89</v>
      </c>
      <c r="B3" s="50" t="s">
        <v>259</v>
      </c>
      <c r="C3" s="50" t="s">
        <v>7</v>
      </c>
      <c r="D3" s="50" t="s">
        <v>5</v>
      </c>
      <c r="E3" s="50"/>
      <c r="F3" s="50"/>
      <c r="G3" s="50"/>
      <c r="H3" s="12"/>
      <c r="I3" s="50" t="s">
        <v>6</v>
      </c>
      <c r="J3" s="50"/>
      <c r="K3" s="50"/>
      <c r="L3" s="50"/>
      <c r="M3" s="50"/>
      <c r="N3" s="50"/>
      <c r="O3" s="50"/>
      <c r="P3" s="50"/>
      <c r="Q3" s="50"/>
      <c r="R3" s="50" t="s">
        <v>260</v>
      </c>
    </row>
    <row r="4" spans="1:21" s="202" customFormat="1" ht="42" customHeight="1" x14ac:dyDescent="0.25">
      <c r="A4" s="50"/>
      <c r="B4" s="50"/>
      <c r="C4" s="50"/>
      <c r="D4" s="12" t="s">
        <v>7</v>
      </c>
      <c r="E4" s="12" t="s">
        <v>8</v>
      </c>
      <c r="F4" s="12" t="s">
        <v>9</v>
      </c>
      <c r="G4" s="12" t="s">
        <v>10</v>
      </c>
      <c r="H4" s="12">
        <v>2014</v>
      </c>
      <c r="I4" s="12">
        <v>2015</v>
      </c>
      <c r="J4" s="12">
        <v>2016</v>
      </c>
      <c r="K4" s="12">
        <v>2017</v>
      </c>
      <c r="L4" s="12">
        <v>2018</v>
      </c>
      <c r="M4" s="88">
        <v>2019</v>
      </c>
      <c r="N4" s="88">
        <v>2020</v>
      </c>
      <c r="O4" s="88">
        <v>2021</v>
      </c>
      <c r="P4" s="88">
        <v>2022</v>
      </c>
      <c r="Q4" s="12" t="s">
        <v>11</v>
      </c>
      <c r="R4" s="50"/>
    </row>
    <row r="5" spans="1:21" ht="26.25" customHeight="1" x14ac:dyDescent="0.25">
      <c r="A5" s="33" t="s">
        <v>248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</row>
    <row r="6" spans="1:21" ht="24" customHeight="1" x14ac:dyDescent="0.25">
      <c r="A6" s="247" t="s">
        <v>249</v>
      </c>
      <c r="B6" s="247"/>
      <c r="C6" s="247"/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</row>
    <row r="7" spans="1:21" ht="24.95" customHeight="1" x14ac:dyDescent="0.25">
      <c r="A7" s="248" t="s">
        <v>110</v>
      </c>
      <c r="B7" s="249" t="s">
        <v>261</v>
      </c>
      <c r="C7" s="248" t="s">
        <v>262</v>
      </c>
      <c r="D7" s="250" t="s">
        <v>18</v>
      </c>
      <c r="E7" s="250" t="s">
        <v>263</v>
      </c>
      <c r="F7" s="250" t="s">
        <v>264</v>
      </c>
      <c r="G7" s="250" t="s">
        <v>265</v>
      </c>
      <c r="H7" s="251">
        <v>69765.3</v>
      </c>
      <c r="I7" s="251">
        <v>78566.5</v>
      </c>
      <c r="J7" s="251">
        <v>53980.2</v>
      </c>
      <c r="K7" s="252">
        <v>48275.5</v>
      </c>
      <c r="L7" s="252">
        <v>47527.3</v>
      </c>
      <c r="M7" s="251">
        <v>50883.5</v>
      </c>
      <c r="N7" s="251">
        <v>43647.3</v>
      </c>
      <c r="O7" s="251">
        <v>45258.3</v>
      </c>
      <c r="P7" s="251">
        <f>O7</f>
        <v>45258.3</v>
      </c>
      <c r="Q7" s="252">
        <f>SUM(H7:P7)</f>
        <v>483162.19999999995</v>
      </c>
      <c r="R7" s="40" t="s">
        <v>266</v>
      </c>
    </row>
    <row r="8" spans="1:21" ht="24.95" customHeight="1" x14ac:dyDescent="0.25">
      <c r="A8" s="253"/>
      <c r="B8" s="254"/>
      <c r="C8" s="253"/>
      <c r="D8" s="250" t="s">
        <v>18</v>
      </c>
      <c r="E8" s="250" t="s">
        <v>263</v>
      </c>
      <c r="F8" s="250" t="s">
        <v>264</v>
      </c>
      <c r="G8" s="250" t="s">
        <v>267</v>
      </c>
      <c r="H8" s="251">
        <v>2247.3000000000002</v>
      </c>
      <c r="I8" s="251">
        <v>6941.5</v>
      </c>
      <c r="J8" s="251">
        <v>7305.1</v>
      </c>
      <c r="K8" s="252">
        <v>3060.4</v>
      </c>
      <c r="L8" s="252">
        <v>788.7</v>
      </c>
      <c r="M8" s="251">
        <v>2751.6</v>
      </c>
      <c r="N8" s="251">
        <v>1809.9</v>
      </c>
      <c r="O8" s="251">
        <v>230</v>
      </c>
      <c r="P8" s="251">
        <v>230</v>
      </c>
      <c r="Q8" s="252">
        <f t="shared" ref="Q8:Q55" si="0">SUM(H8:P8)</f>
        <v>25364.500000000004</v>
      </c>
      <c r="R8" s="42"/>
    </row>
    <row r="9" spans="1:21" ht="24.95" customHeight="1" x14ac:dyDescent="0.25">
      <c r="A9" s="253"/>
      <c r="B9" s="254"/>
      <c r="C9" s="253"/>
      <c r="D9" s="250" t="s">
        <v>18</v>
      </c>
      <c r="E9" s="250" t="s">
        <v>263</v>
      </c>
      <c r="F9" s="250" t="s">
        <v>264</v>
      </c>
      <c r="G9" s="250" t="s">
        <v>268</v>
      </c>
      <c r="H9" s="251">
        <v>11537</v>
      </c>
      <c r="I9" s="251">
        <v>12269.9</v>
      </c>
      <c r="J9" s="251">
        <v>8827.4</v>
      </c>
      <c r="K9" s="252">
        <v>7585.8</v>
      </c>
      <c r="L9" s="252">
        <v>7298.7</v>
      </c>
      <c r="M9" s="251">
        <v>7606.8</v>
      </c>
      <c r="N9" s="251">
        <v>7356.7</v>
      </c>
      <c r="O9" s="251">
        <v>7008.7</v>
      </c>
      <c r="P9" s="251">
        <v>7008.7</v>
      </c>
      <c r="Q9" s="252">
        <f t="shared" si="0"/>
        <v>76499.7</v>
      </c>
      <c r="R9" s="42"/>
    </row>
    <row r="10" spans="1:21" ht="24.95" customHeight="1" x14ac:dyDescent="0.25">
      <c r="A10" s="253"/>
      <c r="B10" s="254"/>
      <c r="C10" s="253"/>
      <c r="D10" s="250" t="s">
        <v>18</v>
      </c>
      <c r="E10" s="250" t="s">
        <v>263</v>
      </c>
      <c r="F10" s="250" t="s">
        <v>264</v>
      </c>
      <c r="G10" s="250" t="s">
        <v>269</v>
      </c>
      <c r="H10" s="251">
        <v>180</v>
      </c>
      <c r="I10" s="251">
        <v>1248.0999999999999</v>
      </c>
      <c r="J10" s="251">
        <v>101.9</v>
      </c>
      <c r="K10" s="252">
        <v>10</v>
      </c>
      <c r="L10" s="252"/>
      <c r="M10" s="251"/>
      <c r="N10" s="251"/>
      <c r="O10" s="251"/>
      <c r="P10" s="251">
        <f t="shared" ref="P10:P55" si="1">O10</f>
        <v>0</v>
      </c>
      <c r="Q10" s="252">
        <f t="shared" si="0"/>
        <v>1540</v>
      </c>
      <c r="R10" s="42"/>
    </row>
    <row r="11" spans="1:21" ht="24.95" customHeight="1" x14ac:dyDescent="0.25">
      <c r="A11" s="253"/>
      <c r="B11" s="254"/>
      <c r="C11" s="253"/>
      <c r="D11" s="250" t="s">
        <v>18</v>
      </c>
      <c r="E11" s="250" t="s">
        <v>263</v>
      </c>
      <c r="F11" s="250" t="s">
        <v>270</v>
      </c>
      <c r="G11" s="250" t="s">
        <v>265</v>
      </c>
      <c r="H11" s="251">
        <v>5961.4</v>
      </c>
      <c r="I11" s="251">
        <v>10099.9</v>
      </c>
      <c r="J11" s="251">
        <v>13561.6</v>
      </c>
      <c r="K11" s="252">
        <v>14858.8</v>
      </c>
      <c r="L11" s="252">
        <v>19814.900000000001</v>
      </c>
      <c r="M11" s="251">
        <v>33192.5</v>
      </c>
      <c r="N11" s="251">
        <v>31250.1</v>
      </c>
      <c r="O11" s="251">
        <v>31250.1</v>
      </c>
      <c r="P11" s="251">
        <v>31250.1</v>
      </c>
      <c r="Q11" s="252">
        <f t="shared" si="0"/>
        <v>191239.40000000002</v>
      </c>
      <c r="R11" s="42"/>
    </row>
    <row r="12" spans="1:21" ht="24.95" customHeight="1" x14ac:dyDescent="0.25">
      <c r="A12" s="253"/>
      <c r="B12" s="254"/>
      <c r="C12" s="253"/>
      <c r="D12" s="250" t="s">
        <v>18</v>
      </c>
      <c r="E12" s="250" t="s">
        <v>263</v>
      </c>
      <c r="F12" s="250" t="s">
        <v>270</v>
      </c>
      <c r="G12" s="250" t="s">
        <v>268</v>
      </c>
      <c r="H12" s="251">
        <v>1142</v>
      </c>
      <c r="I12" s="251">
        <v>1752.1</v>
      </c>
      <c r="J12" s="251">
        <v>2506</v>
      </c>
      <c r="K12" s="252">
        <v>2673.8</v>
      </c>
      <c r="L12" s="252">
        <v>3359.1</v>
      </c>
      <c r="M12" s="251">
        <v>5005.5</v>
      </c>
      <c r="N12" s="251">
        <v>4731.2</v>
      </c>
      <c r="O12" s="251">
        <v>5084.3</v>
      </c>
      <c r="P12" s="251">
        <v>5084.3</v>
      </c>
      <c r="Q12" s="252">
        <f t="shared" si="0"/>
        <v>31338.3</v>
      </c>
      <c r="R12" s="42"/>
    </row>
    <row r="13" spans="1:21" ht="24.95" customHeight="1" x14ac:dyDescent="0.25">
      <c r="A13" s="253"/>
      <c r="B13" s="254"/>
      <c r="C13" s="253"/>
      <c r="D13" s="255" t="s">
        <v>18</v>
      </c>
      <c r="E13" s="255" t="s">
        <v>263</v>
      </c>
      <c r="F13" s="250" t="s">
        <v>271</v>
      </c>
      <c r="G13" s="250" t="s">
        <v>267</v>
      </c>
      <c r="H13" s="252"/>
      <c r="I13" s="252"/>
      <c r="J13" s="252"/>
      <c r="K13" s="252"/>
      <c r="L13" s="252">
        <v>0</v>
      </c>
      <c r="M13" s="251">
        <v>50</v>
      </c>
      <c r="N13" s="251">
        <v>0</v>
      </c>
      <c r="O13" s="251">
        <v>0</v>
      </c>
      <c r="P13" s="251">
        <v>0</v>
      </c>
      <c r="Q13" s="252">
        <f t="shared" si="0"/>
        <v>50</v>
      </c>
      <c r="R13" s="42"/>
    </row>
    <row r="14" spans="1:21" ht="24.95" customHeight="1" x14ac:dyDescent="0.25">
      <c r="A14" s="253"/>
      <c r="B14" s="254"/>
      <c r="C14" s="253"/>
      <c r="D14" s="255" t="s">
        <v>18</v>
      </c>
      <c r="E14" s="255" t="s">
        <v>263</v>
      </c>
      <c r="F14" s="250" t="s">
        <v>271</v>
      </c>
      <c r="G14" s="250" t="s">
        <v>267</v>
      </c>
      <c r="H14" s="252">
        <v>0</v>
      </c>
      <c r="I14" s="252">
        <v>0</v>
      </c>
      <c r="J14" s="252">
        <v>2</v>
      </c>
      <c r="K14" s="252">
        <v>0</v>
      </c>
      <c r="L14" s="252">
        <v>0</v>
      </c>
      <c r="M14" s="251">
        <v>1000</v>
      </c>
      <c r="N14" s="251">
        <v>0</v>
      </c>
      <c r="O14" s="251">
        <v>0</v>
      </c>
      <c r="P14" s="251">
        <f t="shared" si="1"/>
        <v>0</v>
      </c>
      <c r="Q14" s="252">
        <f t="shared" si="0"/>
        <v>1002</v>
      </c>
      <c r="R14" s="42"/>
    </row>
    <row r="15" spans="1:21" ht="24.95" customHeight="1" x14ac:dyDescent="0.25">
      <c r="A15" s="253"/>
      <c r="B15" s="256"/>
      <c r="C15" s="257"/>
      <c r="D15" s="250" t="s">
        <v>18</v>
      </c>
      <c r="E15" s="250" t="s">
        <v>263</v>
      </c>
      <c r="F15" s="250" t="s">
        <v>272</v>
      </c>
      <c r="G15" s="250" t="s">
        <v>269</v>
      </c>
      <c r="H15" s="252">
        <v>0</v>
      </c>
      <c r="I15" s="252">
        <v>0</v>
      </c>
      <c r="J15" s="252">
        <v>0</v>
      </c>
      <c r="K15" s="252">
        <v>1</v>
      </c>
      <c r="L15" s="252">
        <v>0</v>
      </c>
      <c r="M15" s="251">
        <v>0</v>
      </c>
      <c r="N15" s="251">
        <v>0</v>
      </c>
      <c r="O15" s="251">
        <v>0</v>
      </c>
      <c r="P15" s="251">
        <f t="shared" si="1"/>
        <v>0</v>
      </c>
      <c r="Q15" s="252">
        <f t="shared" si="0"/>
        <v>1</v>
      </c>
      <c r="R15" s="42"/>
    </row>
    <row r="16" spans="1:21" ht="24.95" customHeight="1" x14ac:dyDescent="0.25">
      <c r="A16" s="253"/>
      <c r="B16" s="258" t="s">
        <v>273</v>
      </c>
      <c r="C16" s="60" t="s">
        <v>262</v>
      </c>
      <c r="D16" s="250" t="s">
        <v>274</v>
      </c>
      <c r="E16" s="250" t="s">
        <v>263</v>
      </c>
      <c r="F16" s="250" t="s">
        <v>275</v>
      </c>
      <c r="G16" s="250" t="s">
        <v>267</v>
      </c>
      <c r="H16" s="252">
        <v>0</v>
      </c>
      <c r="I16" s="252">
        <v>0</v>
      </c>
      <c r="J16" s="252">
        <v>141</v>
      </c>
      <c r="K16" s="252">
        <v>0</v>
      </c>
      <c r="L16" s="252">
        <v>0</v>
      </c>
      <c r="M16" s="251">
        <v>0</v>
      </c>
      <c r="N16" s="251">
        <v>0</v>
      </c>
      <c r="O16" s="251">
        <v>0</v>
      </c>
      <c r="P16" s="251">
        <f t="shared" si="1"/>
        <v>0</v>
      </c>
      <c r="Q16" s="252">
        <f t="shared" si="0"/>
        <v>141</v>
      </c>
      <c r="R16" s="42"/>
    </row>
    <row r="17" spans="1:18" ht="24.95" customHeight="1" x14ac:dyDescent="0.25">
      <c r="A17" s="253"/>
      <c r="B17" s="259"/>
      <c r="C17" s="62"/>
      <c r="D17" s="250" t="s">
        <v>274</v>
      </c>
      <c r="E17" s="250" t="s">
        <v>263</v>
      </c>
      <c r="F17" s="250" t="s">
        <v>275</v>
      </c>
      <c r="G17" s="250" t="s">
        <v>269</v>
      </c>
      <c r="H17" s="252">
        <v>0</v>
      </c>
      <c r="I17" s="252">
        <v>0</v>
      </c>
      <c r="J17" s="252">
        <v>0</v>
      </c>
      <c r="K17" s="252">
        <v>70.5</v>
      </c>
      <c r="L17" s="252">
        <v>0</v>
      </c>
      <c r="M17" s="251">
        <v>0</v>
      </c>
      <c r="N17" s="251">
        <v>0</v>
      </c>
      <c r="O17" s="251">
        <v>0</v>
      </c>
      <c r="P17" s="251">
        <f t="shared" si="1"/>
        <v>0</v>
      </c>
      <c r="Q17" s="252">
        <f t="shared" si="0"/>
        <v>70.5</v>
      </c>
      <c r="R17" s="42"/>
    </row>
    <row r="18" spans="1:18" ht="24.95" customHeight="1" x14ac:dyDescent="0.25">
      <c r="A18" s="253"/>
      <c r="B18" s="259"/>
      <c r="C18" s="62"/>
      <c r="D18" s="260" t="s">
        <v>18</v>
      </c>
      <c r="E18" s="260" t="s">
        <v>263</v>
      </c>
      <c r="F18" s="260" t="s">
        <v>276</v>
      </c>
      <c r="G18" s="260" t="s">
        <v>265</v>
      </c>
      <c r="H18" s="261">
        <v>55471</v>
      </c>
      <c r="I18" s="261">
        <v>64558.6</v>
      </c>
      <c r="J18" s="261">
        <v>62740.3</v>
      </c>
      <c r="K18" s="262">
        <v>67910</v>
      </c>
      <c r="L18" s="262">
        <v>69926.5</v>
      </c>
      <c r="M18" s="261">
        <v>80492.399999999994</v>
      </c>
      <c r="N18" s="261">
        <v>92362.1</v>
      </c>
      <c r="O18" s="261">
        <v>89981.2</v>
      </c>
      <c r="P18" s="261">
        <v>89981.2</v>
      </c>
      <c r="Q18" s="252">
        <f t="shared" si="0"/>
        <v>673423.29999999993</v>
      </c>
      <c r="R18" s="42"/>
    </row>
    <row r="19" spans="1:18" ht="24.95" customHeight="1" x14ac:dyDescent="0.25">
      <c r="A19" s="253"/>
      <c r="B19" s="259"/>
      <c r="C19" s="62"/>
      <c r="D19" s="260" t="s">
        <v>18</v>
      </c>
      <c r="E19" s="260" t="s">
        <v>263</v>
      </c>
      <c r="F19" s="260" t="s">
        <v>276</v>
      </c>
      <c r="G19" s="260" t="s">
        <v>267</v>
      </c>
      <c r="H19" s="261">
        <v>216.4</v>
      </c>
      <c r="I19" s="261">
        <v>268.39999999999998</v>
      </c>
      <c r="J19" s="261">
        <v>343.4</v>
      </c>
      <c r="K19" s="262">
        <v>380.2</v>
      </c>
      <c r="L19" s="262">
        <v>337</v>
      </c>
      <c r="M19" s="261">
        <v>341</v>
      </c>
      <c r="N19" s="261">
        <v>0</v>
      </c>
      <c r="O19" s="261">
        <v>0</v>
      </c>
      <c r="P19" s="251">
        <v>0</v>
      </c>
      <c r="Q19" s="252">
        <f t="shared" si="0"/>
        <v>1886.3999999999999</v>
      </c>
      <c r="R19" s="42"/>
    </row>
    <row r="20" spans="1:18" ht="24.95" customHeight="1" x14ac:dyDescent="0.25">
      <c r="A20" s="253"/>
      <c r="B20" s="259"/>
      <c r="C20" s="62"/>
      <c r="D20" s="260" t="s">
        <v>18</v>
      </c>
      <c r="E20" s="260" t="s">
        <v>263</v>
      </c>
      <c r="F20" s="260" t="s">
        <v>276</v>
      </c>
      <c r="G20" s="260" t="s">
        <v>268</v>
      </c>
      <c r="H20" s="261">
        <v>8073.9</v>
      </c>
      <c r="I20" s="261">
        <v>9286.4</v>
      </c>
      <c r="J20" s="261">
        <v>9020.2999999999993</v>
      </c>
      <c r="K20" s="262">
        <v>9425.2000000000007</v>
      </c>
      <c r="L20" s="262">
        <v>10547.1</v>
      </c>
      <c r="M20" s="261">
        <v>12198.3</v>
      </c>
      <c r="N20" s="261">
        <v>15775.4</v>
      </c>
      <c r="O20" s="261">
        <v>14950.4</v>
      </c>
      <c r="P20" s="261">
        <v>14950.4</v>
      </c>
      <c r="Q20" s="252">
        <f t="shared" si="0"/>
        <v>104227.39999999998</v>
      </c>
      <c r="R20" s="42"/>
    </row>
    <row r="21" spans="1:18" ht="24.95" customHeight="1" x14ac:dyDescent="0.25">
      <c r="A21" s="253"/>
      <c r="B21" s="259"/>
      <c r="C21" s="62"/>
      <c r="D21" s="260" t="s">
        <v>18</v>
      </c>
      <c r="E21" s="260" t="s">
        <v>263</v>
      </c>
      <c r="F21" s="260" t="s">
        <v>276</v>
      </c>
      <c r="G21" s="260" t="s">
        <v>277</v>
      </c>
      <c r="H21" s="261"/>
      <c r="I21" s="261"/>
      <c r="J21" s="261"/>
      <c r="K21" s="262">
        <v>0</v>
      </c>
      <c r="L21" s="262"/>
      <c r="M21" s="261"/>
      <c r="N21" s="261">
        <v>32.9</v>
      </c>
      <c r="O21" s="261"/>
      <c r="P21" s="251">
        <f t="shared" si="1"/>
        <v>0</v>
      </c>
      <c r="Q21" s="252">
        <f t="shared" si="0"/>
        <v>32.9</v>
      </c>
      <c r="R21" s="42"/>
    </row>
    <row r="22" spans="1:18" ht="24.95" customHeight="1" x14ac:dyDescent="0.25">
      <c r="A22" s="253"/>
      <c r="B22" s="259"/>
      <c r="C22" s="62"/>
      <c r="D22" s="260" t="s">
        <v>18</v>
      </c>
      <c r="E22" s="260" t="s">
        <v>263</v>
      </c>
      <c r="F22" s="260" t="s">
        <v>276</v>
      </c>
      <c r="G22" s="260" t="s">
        <v>267</v>
      </c>
      <c r="H22" s="261">
        <v>3478.6</v>
      </c>
      <c r="I22" s="261">
        <v>3595.8</v>
      </c>
      <c r="J22" s="261"/>
      <c r="K22" s="262">
        <v>0</v>
      </c>
      <c r="L22" s="262"/>
      <c r="M22" s="261"/>
      <c r="N22" s="261"/>
      <c r="O22" s="261"/>
      <c r="P22" s="251">
        <f t="shared" si="1"/>
        <v>0</v>
      </c>
      <c r="Q22" s="252">
        <f t="shared" si="0"/>
        <v>7074.4</v>
      </c>
      <c r="R22" s="42"/>
    </row>
    <row r="23" spans="1:18" ht="24.95" customHeight="1" x14ac:dyDescent="0.25">
      <c r="A23" s="253"/>
      <c r="B23" s="259"/>
      <c r="C23" s="62"/>
      <c r="D23" s="260" t="s">
        <v>18</v>
      </c>
      <c r="E23" s="260" t="s">
        <v>263</v>
      </c>
      <c r="F23" s="260" t="s">
        <v>276</v>
      </c>
      <c r="G23" s="260" t="s">
        <v>269</v>
      </c>
      <c r="H23" s="261">
        <v>486.3</v>
      </c>
      <c r="I23" s="261">
        <v>496.9</v>
      </c>
      <c r="J23" s="261"/>
      <c r="K23" s="262">
        <v>0</v>
      </c>
      <c r="L23" s="262"/>
      <c r="M23" s="261">
        <v>0</v>
      </c>
      <c r="N23" s="261">
        <v>0</v>
      </c>
      <c r="O23" s="261">
        <v>0</v>
      </c>
      <c r="P23" s="251">
        <v>0</v>
      </c>
      <c r="Q23" s="252">
        <f t="shared" si="0"/>
        <v>983.2</v>
      </c>
      <c r="R23" s="42"/>
    </row>
    <row r="24" spans="1:18" ht="24.95" customHeight="1" x14ac:dyDescent="0.25">
      <c r="A24" s="253"/>
      <c r="B24" s="259"/>
      <c r="C24" s="62"/>
      <c r="D24" s="260" t="s">
        <v>18</v>
      </c>
      <c r="E24" s="260" t="s">
        <v>263</v>
      </c>
      <c r="F24" s="260" t="s">
        <v>278</v>
      </c>
      <c r="G24" s="260" t="s">
        <v>265</v>
      </c>
      <c r="H24" s="261"/>
      <c r="I24" s="261"/>
      <c r="J24" s="261">
        <v>32757.9</v>
      </c>
      <c r="K24" s="262">
        <v>35111</v>
      </c>
      <c r="L24" s="262">
        <v>38950.400000000001</v>
      </c>
      <c r="M24" s="261">
        <v>42346.400000000001</v>
      </c>
      <c r="N24" s="261">
        <v>44198.5</v>
      </c>
      <c r="O24" s="261">
        <v>43999.8</v>
      </c>
      <c r="P24" s="261">
        <v>43999.8</v>
      </c>
      <c r="Q24" s="252">
        <f t="shared" si="0"/>
        <v>281363.8</v>
      </c>
      <c r="R24" s="42"/>
    </row>
    <row r="25" spans="1:18" ht="24.95" customHeight="1" x14ac:dyDescent="0.25">
      <c r="A25" s="253"/>
      <c r="B25" s="259"/>
      <c r="C25" s="62"/>
      <c r="D25" s="260" t="s">
        <v>18</v>
      </c>
      <c r="E25" s="260" t="s">
        <v>263</v>
      </c>
      <c r="F25" s="260" t="s">
        <v>278</v>
      </c>
      <c r="G25" s="260" t="s">
        <v>267</v>
      </c>
      <c r="H25" s="261"/>
      <c r="I25" s="261"/>
      <c r="J25" s="261">
        <v>762.6</v>
      </c>
      <c r="K25" s="262">
        <v>412</v>
      </c>
      <c r="L25" s="262">
        <v>357</v>
      </c>
      <c r="M25" s="261">
        <v>290</v>
      </c>
      <c r="N25" s="261">
        <v>0</v>
      </c>
      <c r="O25" s="261">
        <v>0</v>
      </c>
      <c r="P25" s="251">
        <v>0</v>
      </c>
      <c r="Q25" s="252">
        <f t="shared" si="0"/>
        <v>1821.6</v>
      </c>
      <c r="R25" s="42"/>
    </row>
    <row r="26" spans="1:18" ht="24.95" customHeight="1" x14ac:dyDescent="0.25">
      <c r="A26" s="253"/>
      <c r="B26" s="259"/>
      <c r="C26" s="62"/>
      <c r="D26" s="260" t="s">
        <v>18</v>
      </c>
      <c r="E26" s="260" t="s">
        <v>263</v>
      </c>
      <c r="F26" s="260" t="s">
        <v>278</v>
      </c>
      <c r="G26" s="260" t="s">
        <v>268</v>
      </c>
      <c r="H26" s="261"/>
      <c r="I26" s="261"/>
      <c r="J26" s="261">
        <v>4635</v>
      </c>
      <c r="K26" s="262">
        <v>4958.6000000000004</v>
      </c>
      <c r="L26" s="262">
        <v>5314.3</v>
      </c>
      <c r="M26" s="261">
        <v>6772.5</v>
      </c>
      <c r="N26" s="261">
        <v>6889.9</v>
      </c>
      <c r="O26" s="261">
        <v>6867.9</v>
      </c>
      <c r="P26" s="261">
        <v>6867.9</v>
      </c>
      <c r="Q26" s="252">
        <f t="shared" si="0"/>
        <v>42306.100000000006</v>
      </c>
      <c r="R26" s="42"/>
    </row>
    <row r="27" spans="1:18" ht="24.95" customHeight="1" x14ac:dyDescent="0.25">
      <c r="A27" s="253"/>
      <c r="B27" s="259"/>
      <c r="C27" s="62"/>
      <c r="D27" s="260" t="s">
        <v>18</v>
      </c>
      <c r="E27" s="260" t="s">
        <v>263</v>
      </c>
      <c r="F27" s="260" t="s">
        <v>278</v>
      </c>
      <c r="G27" s="260" t="s">
        <v>269</v>
      </c>
      <c r="H27" s="261"/>
      <c r="I27" s="261"/>
      <c r="J27" s="261">
        <v>89.5</v>
      </c>
      <c r="K27" s="262">
        <v>0</v>
      </c>
      <c r="L27" s="262"/>
      <c r="M27" s="261"/>
      <c r="N27" s="261"/>
      <c r="O27" s="261"/>
      <c r="P27" s="251">
        <f t="shared" si="1"/>
        <v>0</v>
      </c>
      <c r="Q27" s="252">
        <f t="shared" si="0"/>
        <v>89.5</v>
      </c>
      <c r="R27" s="42"/>
    </row>
    <row r="28" spans="1:18" ht="51" customHeight="1" x14ac:dyDescent="0.25">
      <c r="A28" s="253"/>
      <c r="B28" s="259"/>
      <c r="C28" s="62"/>
      <c r="D28" s="260" t="s">
        <v>18</v>
      </c>
      <c r="E28" s="260" t="s">
        <v>263</v>
      </c>
      <c r="F28" s="250" t="s">
        <v>279</v>
      </c>
      <c r="G28" s="260" t="s">
        <v>268</v>
      </c>
      <c r="H28" s="261"/>
      <c r="I28" s="261"/>
      <c r="J28" s="261"/>
      <c r="K28" s="262"/>
      <c r="L28" s="262">
        <v>102.6</v>
      </c>
      <c r="M28" s="261">
        <v>46.4</v>
      </c>
      <c r="N28" s="261">
        <v>436.4</v>
      </c>
      <c r="O28" s="261">
        <v>0</v>
      </c>
      <c r="P28" s="251">
        <f t="shared" si="1"/>
        <v>0</v>
      </c>
      <c r="Q28" s="252">
        <f t="shared" si="0"/>
        <v>585.4</v>
      </c>
      <c r="R28" s="42"/>
    </row>
    <row r="29" spans="1:18" ht="60" customHeight="1" x14ac:dyDescent="0.25">
      <c r="A29" s="253"/>
      <c r="B29" s="259"/>
      <c r="C29" s="62"/>
      <c r="D29" s="260" t="s">
        <v>18</v>
      </c>
      <c r="E29" s="260" t="s">
        <v>263</v>
      </c>
      <c r="F29" s="250" t="s">
        <v>280</v>
      </c>
      <c r="G29" s="260" t="s">
        <v>265</v>
      </c>
      <c r="H29" s="261"/>
      <c r="I29" s="261"/>
      <c r="J29" s="261"/>
      <c r="K29" s="262"/>
      <c r="L29" s="262">
        <v>613.20000000000005</v>
      </c>
      <c r="M29" s="261">
        <v>283</v>
      </c>
      <c r="N29" s="261">
        <v>2616.6</v>
      </c>
      <c r="O29" s="261">
        <v>0</v>
      </c>
      <c r="P29" s="251">
        <f t="shared" si="1"/>
        <v>0</v>
      </c>
      <c r="Q29" s="252">
        <f t="shared" si="0"/>
        <v>3512.8</v>
      </c>
      <c r="R29" s="42"/>
    </row>
    <row r="30" spans="1:18" ht="24.95" customHeight="1" x14ac:dyDescent="0.25">
      <c r="A30" s="253"/>
      <c r="B30" s="259"/>
      <c r="C30" s="62"/>
      <c r="D30" s="260" t="s">
        <v>18</v>
      </c>
      <c r="E30" s="260" t="s">
        <v>263</v>
      </c>
      <c r="F30" s="250" t="s">
        <v>281</v>
      </c>
      <c r="G30" s="260" t="s">
        <v>267</v>
      </c>
      <c r="H30" s="261"/>
      <c r="I30" s="261"/>
      <c r="J30" s="261"/>
      <c r="K30" s="262">
        <v>99</v>
      </c>
      <c r="L30" s="262"/>
      <c r="M30" s="261"/>
      <c r="N30" s="261"/>
      <c r="O30" s="261"/>
      <c r="P30" s="251">
        <f t="shared" si="1"/>
        <v>0</v>
      </c>
      <c r="Q30" s="252">
        <f t="shared" si="0"/>
        <v>99</v>
      </c>
      <c r="R30" s="42"/>
    </row>
    <row r="31" spans="1:18" ht="24.95" customHeight="1" x14ac:dyDescent="0.25">
      <c r="A31" s="253"/>
      <c r="B31" s="259"/>
      <c r="C31" s="62"/>
      <c r="D31" s="260" t="s">
        <v>18</v>
      </c>
      <c r="E31" s="260" t="s">
        <v>263</v>
      </c>
      <c r="F31" s="260" t="s">
        <v>282</v>
      </c>
      <c r="G31" s="260" t="s">
        <v>265</v>
      </c>
      <c r="H31" s="261">
        <v>181.4</v>
      </c>
      <c r="I31" s="261"/>
      <c r="J31" s="261"/>
      <c r="K31" s="262"/>
      <c r="L31" s="262"/>
      <c r="M31" s="261"/>
      <c r="N31" s="261"/>
      <c r="O31" s="261"/>
      <c r="P31" s="251">
        <f t="shared" si="1"/>
        <v>0</v>
      </c>
      <c r="Q31" s="252">
        <f t="shared" si="0"/>
        <v>181.4</v>
      </c>
      <c r="R31" s="42"/>
    </row>
    <row r="32" spans="1:18" ht="24.95" customHeight="1" x14ac:dyDescent="0.25">
      <c r="A32" s="253"/>
      <c r="B32" s="263"/>
      <c r="C32" s="219"/>
      <c r="D32" s="260" t="s">
        <v>18</v>
      </c>
      <c r="E32" s="260" t="s">
        <v>263</v>
      </c>
      <c r="F32" s="260" t="s">
        <v>282</v>
      </c>
      <c r="G32" s="260" t="s">
        <v>268</v>
      </c>
      <c r="H32" s="261">
        <v>35.299999999999997</v>
      </c>
      <c r="I32" s="261"/>
      <c r="J32" s="262"/>
      <c r="K32" s="262"/>
      <c r="L32" s="262"/>
      <c r="M32" s="261"/>
      <c r="N32" s="261"/>
      <c r="O32" s="261"/>
      <c r="P32" s="251">
        <f t="shared" si="1"/>
        <v>0</v>
      </c>
      <c r="Q32" s="252">
        <f t="shared" si="0"/>
        <v>35.299999999999997</v>
      </c>
      <c r="R32" s="42"/>
    </row>
    <row r="33" spans="1:18" ht="54.75" customHeight="1" x14ac:dyDescent="0.25">
      <c r="A33" s="257"/>
      <c r="B33" s="264" t="s">
        <v>283</v>
      </c>
      <c r="C33" s="88" t="s">
        <v>262</v>
      </c>
      <c r="D33" s="260" t="s">
        <v>18</v>
      </c>
      <c r="E33" s="260" t="s">
        <v>263</v>
      </c>
      <c r="F33" s="260" t="s">
        <v>15</v>
      </c>
      <c r="G33" s="260" t="s">
        <v>15</v>
      </c>
      <c r="H33" s="261">
        <v>13162.3</v>
      </c>
      <c r="I33" s="261">
        <v>12443.8</v>
      </c>
      <c r="J33" s="262">
        <v>16587.599999999999</v>
      </c>
      <c r="K33" s="262">
        <v>19415.5</v>
      </c>
      <c r="L33" s="262">
        <v>21251.4</v>
      </c>
      <c r="M33" s="261">
        <v>20373.5</v>
      </c>
      <c r="N33" s="261">
        <v>22110.7</v>
      </c>
      <c r="O33" s="261">
        <v>22400.2</v>
      </c>
      <c r="P33" s="261">
        <v>22400.2</v>
      </c>
      <c r="Q33" s="252">
        <f t="shared" si="0"/>
        <v>170145.2</v>
      </c>
      <c r="R33" s="75"/>
    </row>
    <row r="34" spans="1:18" ht="32.25" customHeight="1" x14ac:dyDescent="0.25">
      <c r="A34" s="265" t="s">
        <v>113</v>
      </c>
      <c r="B34" s="258" t="s">
        <v>284</v>
      </c>
      <c r="C34" s="60" t="s">
        <v>262</v>
      </c>
      <c r="D34" s="260" t="s">
        <v>18</v>
      </c>
      <c r="E34" s="260" t="s">
        <v>263</v>
      </c>
      <c r="F34" s="260" t="s">
        <v>285</v>
      </c>
      <c r="G34" s="260" t="s">
        <v>267</v>
      </c>
      <c r="H34" s="261">
        <v>2036.1</v>
      </c>
      <c r="I34" s="261"/>
      <c r="J34" s="261"/>
      <c r="K34" s="262"/>
      <c r="L34" s="262"/>
      <c r="M34" s="261"/>
      <c r="N34" s="261"/>
      <c r="O34" s="261"/>
      <c r="P34" s="251">
        <f t="shared" si="1"/>
        <v>0</v>
      </c>
      <c r="Q34" s="252">
        <f t="shared" si="0"/>
        <v>2036.1</v>
      </c>
      <c r="R34" s="266" t="s">
        <v>286</v>
      </c>
    </row>
    <row r="35" spans="1:18" ht="39" customHeight="1" x14ac:dyDescent="0.25">
      <c r="A35" s="267"/>
      <c r="B35" s="263"/>
      <c r="C35" s="219"/>
      <c r="D35" s="260" t="s">
        <v>18</v>
      </c>
      <c r="E35" s="260" t="s">
        <v>263</v>
      </c>
      <c r="F35" s="260" t="s">
        <v>287</v>
      </c>
      <c r="G35" s="260" t="s">
        <v>267</v>
      </c>
      <c r="H35" s="261">
        <v>511.1</v>
      </c>
      <c r="I35" s="261"/>
      <c r="J35" s="261"/>
      <c r="K35" s="262"/>
      <c r="L35" s="262"/>
      <c r="M35" s="261"/>
      <c r="N35" s="261"/>
      <c r="O35" s="261"/>
      <c r="P35" s="251">
        <f t="shared" si="1"/>
        <v>0</v>
      </c>
      <c r="Q35" s="252">
        <f t="shared" si="0"/>
        <v>511.1</v>
      </c>
      <c r="R35" s="268"/>
    </row>
    <row r="36" spans="1:18" ht="39" customHeight="1" x14ac:dyDescent="0.25">
      <c r="A36" s="267"/>
      <c r="B36" s="269"/>
      <c r="C36" s="60" t="s">
        <v>262</v>
      </c>
      <c r="D36" s="260"/>
      <c r="E36" s="260" t="s">
        <v>263</v>
      </c>
      <c r="F36" s="260" t="s">
        <v>288</v>
      </c>
      <c r="G36" s="260" t="s">
        <v>267</v>
      </c>
      <c r="H36" s="261"/>
      <c r="I36" s="261"/>
      <c r="J36" s="261"/>
      <c r="K36" s="262"/>
      <c r="L36" s="262"/>
      <c r="M36" s="261"/>
      <c r="N36" s="270">
        <v>2494.8000000000002</v>
      </c>
      <c r="O36" s="261"/>
      <c r="P36" s="251"/>
      <c r="Q36" s="252"/>
      <c r="R36" s="268"/>
    </row>
    <row r="37" spans="1:18" ht="69" customHeight="1" x14ac:dyDescent="0.25">
      <c r="A37" s="271"/>
      <c r="B37" s="272" t="s">
        <v>289</v>
      </c>
      <c r="C37" s="219"/>
      <c r="D37" s="260" t="s">
        <v>18</v>
      </c>
      <c r="E37" s="260" t="s">
        <v>263</v>
      </c>
      <c r="F37" s="260" t="s">
        <v>290</v>
      </c>
      <c r="G37" s="260" t="s">
        <v>267</v>
      </c>
      <c r="H37" s="261">
        <v>20.5</v>
      </c>
      <c r="I37" s="261">
        <v>0</v>
      </c>
      <c r="J37" s="261">
        <v>0</v>
      </c>
      <c r="K37" s="262"/>
      <c r="L37" s="262"/>
      <c r="M37" s="261"/>
      <c r="N37" s="261"/>
      <c r="O37" s="261"/>
      <c r="P37" s="251">
        <f t="shared" si="1"/>
        <v>0</v>
      </c>
      <c r="Q37" s="252">
        <f t="shared" si="0"/>
        <v>20.5</v>
      </c>
      <c r="R37" s="273"/>
    </row>
    <row r="38" spans="1:18" s="81" customFormat="1" ht="35.25" customHeight="1" x14ac:dyDescent="0.25">
      <c r="A38" s="274" t="s">
        <v>115</v>
      </c>
      <c r="B38" s="275" t="s">
        <v>291</v>
      </c>
      <c r="C38" s="60" t="s">
        <v>262</v>
      </c>
      <c r="D38" s="260" t="s">
        <v>18</v>
      </c>
      <c r="E38" s="260" t="s">
        <v>263</v>
      </c>
      <c r="F38" s="260" t="s">
        <v>292</v>
      </c>
      <c r="G38" s="260" t="s">
        <v>267</v>
      </c>
      <c r="H38" s="261">
        <v>3.4</v>
      </c>
      <c r="I38" s="261">
        <v>3.4</v>
      </c>
      <c r="J38" s="261"/>
      <c r="K38" s="262"/>
      <c r="L38" s="262"/>
      <c r="M38" s="261"/>
      <c r="N38" s="261"/>
      <c r="O38" s="261"/>
      <c r="P38" s="251">
        <f t="shared" si="1"/>
        <v>0</v>
      </c>
      <c r="Q38" s="252">
        <f t="shared" si="0"/>
        <v>6.8</v>
      </c>
      <c r="R38" s="276"/>
    </row>
    <row r="39" spans="1:18" s="81" customFormat="1" ht="53.25" customHeight="1" x14ac:dyDescent="0.25">
      <c r="A39" s="277"/>
      <c r="B39" s="278"/>
      <c r="C39" s="219"/>
      <c r="D39" s="279" t="s">
        <v>18</v>
      </c>
      <c r="E39" s="279" t="s">
        <v>263</v>
      </c>
      <c r="F39" s="260" t="s">
        <v>292</v>
      </c>
      <c r="G39" s="260" t="s">
        <v>269</v>
      </c>
      <c r="H39" s="261">
        <v>0.6</v>
      </c>
      <c r="I39" s="261">
        <v>0.6</v>
      </c>
      <c r="J39" s="261"/>
      <c r="K39" s="262"/>
      <c r="L39" s="262"/>
      <c r="M39" s="261"/>
      <c r="N39" s="261"/>
      <c r="O39" s="261"/>
      <c r="P39" s="251">
        <f t="shared" si="1"/>
        <v>0</v>
      </c>
      <c r="Q39" s="252">
        <f t="shared" si="0"/>
        <v>1.2</v>
      </c>
      <c r="R39" s="280"/>
    </row>
    <row r="40" spans="1:18" ht="35.1" customHeight="1" x14ac:dyDescent="0.25">
      <c r="A40" s="281" t="s">
        <v>118</v>
      </c>
      <c r="B40" s="282" t="s">
        <v>293</v>
      </c>
      <c r="C40" s="60" t="s">
        <v>262</v>
      </c>
      <c r="D40" s="279" t="s">
        <v>18</v>
      </c>
      <c r="E40" s="279" t="s">
        <v>294</v>
      </c>
      <c r="F40" s="260" t="s">
        <v>295</v>
      </c>
      <c r="G40" s="260" t="s">
        <v>296</v>
      </c>
      <c r="H40" s="261">
        <v>2490.8000000000002</v>
      </c>
      <c r="I40" s="261">
        <v>2975.5</v>
      </c>
      <c r="J40" s="261">
        <v>5157.1000000000004</v>
      </c>
      <c r="K40" s="262">
        <v>3953.2</v>
      </c>
      <c r="L40" s="262">
        <f>3232.2-682.5</f>
        <v>2549.6999999999998</v>
      </c>
      <c r="M40" s="261">
        <v>3541.5</v>
      </c>
      <c r="N40" s="261">
        <v>3209.2</v>
      </c>
      <c r="O40" s="261">
        <v>3209.2</v>
      </c>
      <c r="P40" s="261">
        <v>3209.2</v>
      </c>
      <c r="Q40" s="252">
        <f t="shared" si="0"/>
        <v>30295.400000000005</v>
      </c>
      <c r="R40" s="276" t="s">
        <v>297</v>
      </c>
    </row>
    <row r="41" spans="1:18" ht="45" customHeight="1" x14ac:dyDescent="0.25">
      <c r="A41" s="283"/>
      <c r="B41" s="284"/>
      <c r="C41" s="219"/>
      <c r="D41" s="279" t="s">
        <v>18</v>
      </c>
      <c r="E41" s="279" t="s">
        <v>294</v>
      </c>
      <c r="F41" s="260" t="s">
        <v>295</v>
      </c>
      <c r="G41" s="260" t="s">
        <v>298</v>
      </c>
      <c r="H41" s="261">
        <v>27</v>
      </c>
      <c r="I41" s="261"/>
      <c r="J41" s="261"/>
      <c r="K41" s="262"/>
      <c r="L41" s="262"/>
      <c r="M41" s="261"/>
      <c r="N41" s="261"/>
      <c r="O41" s="261"/>
      <c r="P41" s="251">
        <f t="shared" si="1"/>
        <v>0</v>
      </c>
      <c r="Q41" s="252">
        <f t="shared" si="0"/>
        <v>27</v>
      </c>
      <c r="R41" s="280"/>
    </row>
    <row r="42" spans="1:18" ht="35.1" customHeight="1" x14ac:dyDescent="0.25">
      <c r="A42" s="285" t="s">
        <v>299</v>
      </c>
      <c r="B42" s="286" t="s">
        <v>300</v>
      </c>
      <c r="C42" s="60" t="s">
        <v>262</v>
      </c>
      <c r="D42" s="260" t="s">
        <v>18</v>
      </c>
      <c r="E42" s="279" t="s">
        <v>263</v>
      </c>
      <c r="F42" s="279" t="s">
        <v>301</v>
      </c>
      <c r="G42" s="260" t="s">
        <v>267</v>
      </c>
      <c r="H42" s="261">
        <v>274.89999999999998</v>
      </c>
      <c r="I42" s="261">
        <v>279.10000000000002</v>
      </c>
      <c r="J42" s="261">
        <v>474.8</v>
      </c>
      <c r="K42" s="262">
        <v>380</v>
      </c>
      <c r="L42" s="262">
        <v>522.29999999999995</v>
      </c>
      <c r="M42" s="261">
        <v>301.3</v>
      </c>
      <c r="N42" s="261">
        <v>471.3</v>
      </c>
      <c r="O42" s="261">
        <v>471.3</v>
      </c>
      <c r="P42" s="261">
        <v>471.3</v>
      </c>
      <c r="Q42" s="252">
        <f t="shared" si="0"/>
        <v>3646.3000000000006</v>
      </c>
      <c r="R42" s="276" t="s">
        <v>302</v>
      </c>
    </row>
    <row r="43" spans="1:18" ht="35.1" customHeight="1" x14ac:dyDescent="0.25">
      <c r="A43" s="287"/>
      <c r="B43" s="288"/>
      <c r="C43" s="219"/>
      <c r="D43" s="260" t="s">
        <v>18</v>
      </c>
      <c r="E43" s="279" t="s">
        <v>263</v>
      </c>
      <c r="F43" s="279" t="s">
        <v>301</v>
      </c>
      <c r="G43" s="260" t="s">
        <v>269</v>
      </c>
      <c r="H43" s="261">
        <v>19</v>
      </c>
      <c r="I43" s="261">
        <v>25.1</v>
      </c>
      <c r="J43" s="261">
        <v>36.799999999999997</v>
      </c>
      <c r="K43" s="262">
        <v>52.6</v>
      </c>
      <c r="L43" s="262">
        <v>76.7</v>
      </c>
      <c r="M43" s="261">
        <v>19.2</v>
      </c>
      <c r="N43" s="261">
        <v>127</v>
      </c>
      <c r="O43" s="261">
        <v>127</v>
      </c>
      <c r="P43" s="261">
        <v>127</v>
      </c>
      <c r="Q43" s="252">
        <f t="shared" si="0"/>
        <v>610.4</v>
      </c>
      <c r="R43" s="280"/>
    </row>
    <row r="44" spans="1:18" ht="44.25" customHeight="1" x14ac:dyDescent="0.25">
      <c r="A44" s="285" t="s">
        <v>303</v>
      </c>
      <c r="B44" s="282" t="s">
        <v>304</v>
      </c>
      <c r="C44" s="60" t="s">
        <v>262</v>
      </c>
      <c r="D44" s="289" t="s">
        <v>18</v>
      </c>
      <c r="E44" s="260" t="s">
        <v>263</v>
      </c>
      <c r="F44" s="260" t="s">
        <v>305</v>
      </c>
      <c r="G44" s="260" t="s">
        <v>267</v>
      </c>
      <c r="H44" s="261">
        <v>4242.3</v>
      </c>
      <c r="I44" s="261">
        <v>0</v>
      </c>
      <c r="J44" s="261"/>
      <c r="K44" s="262"/>
      <c r="L44" s="262"/>
      <c r="M44" s="261"/>
      <c r="N44" s="261"/>
      <c r="O44" s="261"/>
      <c r="P44" s="251">
        <f t="shared" si="1"/>
        <v>0</v>
      </c>
      <c r="Q44" s="252">
        <f t="shared" si="0"/>
        <v>4242.3</v>
      </c>
      <c r="R44" s="276" t="s">
        <v>306</v>
      </c>
    </row>
    <row r="45" spans="1:18" ht="42" customHeight="1" x14ac:dyDescent="0.25">
      <c r="A45" s="287"/>
      <c r="B45" s="284"/>
      <c r="C45" s="62"/>
      <c r="D45" s="290"/>
      <c r="E45" s="260" t="s">
        <v>263</v>
      </c>
      <c r="F45" s="260" t="s">
        <v>307</v>
      </c>
      <c r="G45" s="260" t="s">
        <v>267</v>
      </c>
      <c r="H45" s="261">
        <v>15008.8</v>
      </c>
      <c r="I45" s="261"/>
      <c r="J45" s="261"/>
      <c r="K45" s="262"/>
      <c r="L45" s="262"/>
      <c r="M45" s="261"/>
      <c r="N45" s="261"/>
      <c r="O45" s="261"/>
      <c r="P45" s="251">
        <f t="shared" si="1"/>
        <v>0</v>
      </c>
      <c r="Q45" s="252">
        <f t="shared" si="0"/>
        <v>15008.8</v>
      </c>
      <c r="R45" s="280"/>
    </row>
    <row r="46" spans="1:18" ht="35.1" customHeight="1" x14ac:dyDescent="0.25">
      <c r="A46" s="291" t="s">
        <v>308</v>
      </c>
      <c r="B46" s="292" t="s">
        <v>309</v>
      </c>
      <c r="C46" s="219"/>
      <c r="D46" s="260" t="s">
        <v>18</v>
      </c>
      <c r="E46" s="260" t="s">
        <v>263</v>
      </c>
      <c r="F46" s="260" t="s">
        <v>310</v>
      </c>
      <c r="G46" s="260" t="s">
        <v>267</v>
      </c>
      <c r="H46" s="261">
        <v>1500.9</v>
      </c>
      <c r="I46" s="261"/>
      <c r="J46" s="261"/>
      <c r="K46" s="262"/>
      <c r="L46" s="262"/>
      <c r="M46" s="261"/>
      <c r="N46" s="261"/>
      <c r="O46" s="261"/>
      <c r="P46" s="251">
        <f t="shared" si="1"/>
        <v>0</v>
      </c>
      <c r="Q46" s="252">
        <f t="shared" si="0"/>
        <v>1500.9</v>
      </c>
      <c r="R46" s="293"/>
    </row>
    <row r="47" spans="1:18" ht="49.5" customHeight="1" x14ac:dyDescent="0.25">
      <c r="A47" s="285" t="s">
        <v>311</v>
      </c>
      <c r="B47" s="282" t="s">
        <v>312</v>
      </c>
      <c r="C47" s="60" t="s">
        <v>262</v>
      </c>
      <c r="D47" s="260" t="s">
        <v>18</v>
      </c>
      <c r="E47" s="260" t="s">
        <v>263</v>
      </c>
      <c r="F47" s="260" t="s">
        <v>313</v>
      </c>
      <c r="G47" s="260" t="s">
        <v>269</v>
      </c>
      <c r="H47" s="261">
        <v>2</v>
      </c>
      <c r="I47" s="261"/>
      <c r="J47" s="261"/>
      <c r="K47" s="262"/>
      <c r="L47" s="262"/>
      <c r="M47" s="261"/>
      <c r="N47" s="261"/>
      <c r="O47" s="261"/>
      <c r="P47" s="251">
        <f t="shared" si="1"/>
        <v>0</v>
      </c>
      <c r="Q47" s="252">
        <f t="shared" si="0"/>
        <v>2</v>
      </c>
      <c r="R47" s="276" t="s">
        <v>314</v>
      </c>
    </row>
    <row r="48" spans="1:18" ht="62.25" customHeight="1" x14ac:dyDescent="0.25">
      <c r="A48" s="287"/>
      <c r="B48" s="284"/>
      <c r="C48" s="219"/>
      <c r="D48" s="260" t="s">
        <v>18</v>
      </c>
      <c r="E48" s="260" t="s">
        <v>263</v>
      </c>
      <c r="F48" s="260" t="s">
        <v>313</v>
      </c>
      <c r="G48" s="260" t="s">
        <v>267</v>
      </c>
      <c r="H48" s="261">
        <v>3</v>
      </c>
      <c r="I48" s="261"/>
      <c r="J48" s="261"/>
      <c r="K48" s="262"/>
      <c r="L48" s="262"/>
      <c r="M48" s="261"/>
      <c r="N48" s="261"/>
      <c r="O48" s="261"/>
      <c r="P48" s="251">
        <f t="shared" si="1"/>
        <v>0</v>
      </c>
      <c r="Q48" s="252">
        <f t="shared" si="0"/>
        <v>3</v>
      </c>
      <c r="R48" s="280"/>
    </row>
    <row r="49" spans="1:18" ht="35.1" customHeight="1" x14ac:dyDescent="0.25">
      <c r="A49" s="294" t="s">
        <v>315</v>
      </c>
      <c r="B49" s="276" t="s">
        <v>316</v>
      </c>
      <c r="C49" s="60" t="s">
        <v>262</v>
      </c>
      <c r="D49" s="250" t="s">
        <v>18</v>
      </c>
      <c r="E49" s="250" t="s">
        <v>317</v>
      </c>
      <c r="F49" s="250" t="s">
        <v>318</v>
      </c>
      <c r="G49" s="12">
        <v>622</v>
      </c>
      <c r="H49" s="261">
        <v>13</v>
      </c>
      <c r="I49" s="261">
        <v>13</v>
      </c>
      <c r="J49" s="295"/>
      <c r="K49" s="296"/>
      <c r="L49" s="296"/>
      <c r="M49" s="295"/>
      <c r="N49" s="295"/>
      <c r="O49" s="295"/>
      <c r="P49" s="251">
        <f t="shared" si="1"/>
        <v>0</v>
      </c>
      <c r="Q49" s="252">
        <f t="shared" si="0"/>
        <v>26</v>
      </c>
      <c r="R49" s="41" t="s">
        <v>319</v>
      </c>
    </row>
    <row r="50" spans="1:18" ht="36" customHeight="1" x14ac:dyDescent="0.25">
      <c r="A50" s="294"/>
      <c r="B50" s="280"/>
      <c r="C50" s="219"/>
      <c r="D50" s="250" t="s">
        <v>18</v>
      </c>
      <c r="E50" s="250" t="s">
        <v>317</v>
      </c>
      <c r="F50" s="250" t="s">
        <v>318</v>
      </c>
      <c r="G50" s="12">
        <v>244</v>
      </c>
      <c r="H50" s="261"/>
      <c r="I50" s="261"/>
      <c r="J50" s="261"/>
      <c r="K50" s="262"/>
      <c r="L50" s="262"/>
      <c r="M50" s="261"/>
      <c r="N50" s="261"/>
      <c r="O50" s="261"/>
      <c r="P50" s="251">
        <f t="shared" si="1"/>
        <v>0</v>
      </c>
      <c r="Q50" s="252">
        <f t="shared" si="0"/>
        <v>0</v>
      </c>
      <c r="R50" s="297"/>
    </row>
    <row r="51" spans="1:18" ht="22.5" customHeight="1" x14ac:dyDescent="0.25">
      <c r="A51" s="298" t="s">
        <v>320</v>
      </c>
      <c r="B51" s="299"/>
      <c r="C51" s="300"/>
      <c r="D51" s="300"/>
      <c r="E51" s="301"/>
      <c r="F51" s="300"/>
      <c r="G51" s="300"/>
      <c r="H51" s="262">
        <f t="shared" ref="H51:O51" si="2">SUM(H7:H50)</f>
        <v>198091.59999999992</v>
      </c>
      <c r="I51" s="262">
        <f t="shared" si="2"/>
        <v>204824.59999999998</v>
      </c>
      <c r="J51" s="262">
        <f t="shared" si="2"/>
        <v>219030.49999999997</v>
      </c>
      <c r="K51" s="262">
        <f t="shared" si="2"/>
        <v>218633.10000000003</v>
      </c>
      <c r="L51" s="262">
        <f t="shared" si="2"/>
        <v>229336.90000000002</v>
      </c>
      <c r="M51" s="261">
        <f t="shared" si="2"/>
        <v>267495.39999999997</v>
      </c>
      <c r="N51" s="261">
        <f t="shared" si="2"/>
        <v>279519.99999999994</v>
      </c>
      <c r="O51" s="261">
        <f t="shared" si="2"/>
        <v>270838.39999999997</v>
      </c>
      <c r="P51" s="251">
        <f t="shared" si="1"/>
        <v>270838.39999999997</v>
      </c>
      <c r="Q51" s="252">
        <f t="shared" si="0"/>
        <v>2158608.8999999994</v>
      </c>
      <c r="R51" s="37"/>
    </row>
    <row r="52" spans="1:18" ht="20.25" customHeight="1" x14ac:dyDescent="0.25">
      <c r="A52" s="298" t="s">
        <v>321</v>
      </c>
      <c r="B52" s="299"/>
      <c r="C52" s="302"/>
      <c r="D52" s="302"/>
      <c r="E52" s="302"/>
      <c r="F52" s="302"/>
      <c r="G52" s="302"/>
      <c r="H52" s="262">
        <f t="shared" ref="H52:M52" si="3">H51</f>
        <v>198091.59999999992</v>
      </c>
      <c r="I52" s="262">
        <f t="shared" si="3"/>
        <v>204824.59999999998</v>
      </c>
      <c r="J52" s="262">
        <f t="shared" si="3"/>
        <v>219030.49999999997</v>
      </c>
      <c r="K52" s="262">
        <f t="shared" si="3"/>
        <v>218633.10000000003</v>
      </c>
      <c r="L52" s="262">
        <f t="shared" si="3"/>
        <v>229336.90000000002</v>
      </c>
      <c r="M52" s="261">
        <f t="shared" si="3"/>
        <v>267495.39999999997</v>
      </c>
      <c r="N52" s="261">
        <f>N51</f>
        <v>279519.99999999994</v>
      </c>
      <c r="O52" s="261">
        <f>O51</f>
        <v>270838.39999999997</v>
      </c>
      <c r="P52" s="251">
        <f t="shared" si="1"/>
        <v>270838.39999999997</v>
      </c>
      <c r="Q52" s="252">
        <f t="shared" si="0"/>
        <v>2158608.8999999994</v>
      </c>
      <c r="R52" s="37"/>
    </row>
    <row r="53" spans="1:18" ht="20.25" customHeight="1" x14ac:dyDescent="0.25">
      <c r="A53" s="298" t="s">
        <v>322</v>
      </c>
      <c r="B53" s="299"/>
      <c r="C53" s="302" t="s">
        <v>322</v>
      </c>
      <c r="D53" s="302"/>
      <c r="E53" s="302"/>
      <c r="F53" s="302"/>
      <c r="G53" s="302"/>
      <c r="H53" s="262">
        <f>H16+H17+H18+H19+H20+H21+H22+H23+H24+H25+H26+H27+H31+H32+H34+H35+H40+H41+H42+H43+H44+H45</f>
        <v>92552.900000000023</v>
      </c>
      <c r="I53" s="262">
        <f>I16+I17+I18+I19+I20+I21+I22+I23+I24+I25+I26+I27+I31+I32+I34+I35+I40+I41+I42+I43+I44+I45</f>
        <v>81485.8</v>
      </c>
      <c r="J53" s="262">
        <f>J16+J17+J18+J19+J20+J21+J22+J23+J24+J25+J26+J27+J31+J32+J34+J35+J40+J41+J42+J43+J44+J45</f>
        <v>116158.70000000001</v>
      </c>
      <c r="K53" s="262">
        <f>K16+K17+K18+K19+K20+K21+K22+K23+K24+K25+K26+K27+K31+K32+K34+K35+K40+K41+K42+K43+K44+K45+K30</f>
        <v>122752.3</v>
      </c>
      <c r="L53" s="262">
        <f>L16+L17+L18+L19+L20+L21+L22+L23+L24+L25+L26+L27+L31+L32+L34+L35+L40+L41+L42+L43+L44+L45+L28+L29</f>
        <v>129296.8</v>
      </c>
      <c r="M53" s="261">
        <f>M16+M17+M18+M19+M20+M21+M22+M23+M24+M25+M26+M27+M31+M32+M34+M35+M40+M41+M42+M43+M44+M45+M28+M29+M14</f>
        <v>147632</v>
      </c>
      <c r="N53" s="303">
        <f>N16+N17+N18+N19+N20+N21+N22+N23+N24+N25+N26+N27+N31+N32+N34+N35+N40+N41+N42+N43+N44+N45+N28+N29+N36</f>
        <v>168614.09999999998</v>
      </c>
      <c r="O53" s="261">
        <f>O16+O17+O18+O19+O20+O21+O22+O23+O24+O25+O26+O27+O31+O32+O34+O35+O40+O41+O42+O43+O44+O45</f>
        <v>159606.79999999999</v>
      </c>
      <c r="P53" s="251">
        <f t="shared" si="1"/>
        <v>159606.79999999999</v>
      </c>
      <c r="Q53" s="252">
        <f t="shared" si="0"/>
        <v>1177706.2</v>
      </c>
      <c r="R53" s="37"/>
    </row>
    <row r="54" spans="1:18" ht="20.25" customHeight="1" x14ac:dyDescent="0.25">
      <c r="A54" s="298" t="s">
        <v>323</v>
      </c>
      <c r="B54" s="299"/>
      <c r="C54" s="302" t="s">
        <v>323</v>
      </c>
      <c r="D54" s="302"/>
      <c r="E54" s="302"/>
      <c r="F54" s="302"/>
      <c r="G54" s="302"/>
      <c r="H54" s="262">
        <f>H7+H8+H9+H10+H11+H12+H14+H15+H37+H38+H39+H46+H47+H48+H49+H50</f>
        <v>92376.4</v>
      </c>
      <c r="I54" s="262">
        <f>I7+I8+I9+I10+I11+I12+I14+I15+I37+I38+I39+I46+I47+I48+I49+I50</f>
        <v>110895</v>
      </c>
      <c r="J54" s="262">
        <f>J7+J8+J9+J10+J11+J12+J14+J15+J37+J38+J39+J46+J47+J48+J49+J50</f>
        <v>86284.2</v>
      </c>
      <c r="K54" s="262">
        <f>K7+K8+K9+K10+K11+K12+K14+K15+K37+K38+K39+K46+K47+K48+K49+K50</f>
        <v>76465.3</v>
      </c>
      <c r="L54" s="262">
        <f>L7+L8+L9+L10+L11+L12+L14+L15+L37+L38+L39+L46+L47+L48+L49+L50</f>
        <v>78788.700000000012</v>
      </c>
      <c r="M54" s="261">
        <f>M7+M8+M9+M10+M11+M12+M15+M37+M38+M39+M46+M47+M48+M49+M50+M13</f>
        <v>99489.9</v>
      </c>
      <c r="N54" s="303">
        <f>N7+N8+N9+N10+N11+N12+N14+N15+N37+N38+N39+N46+N47+N48+N49+N50+N13</f>
        <v>88795.199999999997</v>
      </c>
      <c r="O54" s="261">
        <f>O7+O8+O9+O10+O11+O12+O14+O15+O37+O38+O39+O46+O47+O48+O49+O50+O13</f>
        <v>88831.400000000009</v>
      </c>
      <c r="P54" s="251">
        <f>O54-0.1</f>
        <v>88831.3</v>
      </c>
      <c r="Q54" s="252">
        <f t="shared" si="0"/>
        <v>810757.4</v>
      </c>
      <c r="R54" s="37"/>
    </row>
    <row r="55" spans="1:18" ht="20.25" customHeight="1" x14ac:dyDescent="0.25">
      <c r="A55" s="298" t="s">
        <v>324</v>
      </c>
      <c r="B55" s="299"/>
      <c r="C55" s="302" t="s">
        <v>324</v>
      </c>
      <c r="D55" s="302"/>
      <c r="E55" s="302"/>
      <c r="F55" s="302"/>
      <c r="G55" s="302"/>
      <c r="H55" s="262">
        <f t="shared" ref="H55:O55" si="4">H33</f>
        <v>13162.3</v>
      </c>
      <c r="I55" s="262">
        <f t="shared" si="4"/>
        <v>12443.8</v>
      </c>
      <c r="J55" s="261">
        <f t="shared" si="4"/>
        <v>16587.599999999999</v>
      </c>
      <c r="K55" s="262">
        <f t="shared" si="4"/>
        <v>19415.5</v>
      </c>
      <c r="L55" s="262">
        <f t="shared" si="4"/>
        <v>21251.4</v>
      </c>
      <c r="M55" s="261">
        <f t="shared" si="4"/>
        <v>20373.5</v>
      </c>
      <c r="N55" s="261">
        <f t="shared" si="4"/>
        <v>22110.7</v>
      </c>
      <c r="O55" s="261">
        <f t="shared" si="4"/>
        <v>22400.2</v>
      </c>
      <c r="P55" s="251">
        <f t="shared" si="1"/>
        <v>22400.2</v>
      </c>
      <c r="Q55" s="252">
        <f t="shared" si="0"/>
        <v>170145.2</v>
      </c>
      <c r="R55" s="37"/>
    </row>
    <row r="56" spans="1:18" s="307" customFormat="1" x14ac:dyDescent="0.25">
      <c r="A56" s="304"/>
      <c r="B56" s="304"/>
      <c r="C56" s="305"/>
      <c r="D56" s="305"/>
      <c r="E56" s="305"/>
      <c r="F56" s="305"/>
      <c r="G56" s="305"/>
      <c r="H56" s="305"/>
      <c r="I56" s="306"/>
      <c r="J56" s="306"/>
      <c r="K56" s="202"/>
      <c r="L56" s="202"/>
      <c r="M56" s="177"/>
      <c r="N56" s="177"/>
      <c r="O56" s="177"/>
      <c r="P56" s="177"/>
      <c r="Q56" s="202"/>
      <c r="R56" s="202"/>
    </row>
    <row r="57" spans="1:18" s="202" customFormat="1" x14ac:dyDescent="0.25">
      <c r="A57" s="308"/>
      <c r="B57" s="308"/>
      <c r="C57" s="309"/>
      <c r="D57" s="309"/>
      <c r="E57" s="309"/>
      <c r="F57" s="309"/>
      <c r="G57" s="309"/>
      <c r="H57" s="309"/>
      <c r="I57" s="309"/>
      <c r="J57" s="309"/>
      <c r="K57" s="309"/>
      <c r="M57" s="177"/>
      <c r="N57" s="177"/>
      <c r="O57" s="177"/>
      <c r="P57" s="177"/>
      <c r="Q57" s="310"/>
    </row>
    <row r="58" spans="1:18" x14ac:dyDescent="0.25">
      <c r="A58" s="311" t="s">
        <v>33</v>
      </c>
      <c r="B58" s="311"/>
      <c r="C58" s="311"/>
      <c r="D58" s="312"/>
      <c r="E58" s="312"/>
      <c r="F58" s="312"/>
      <c r="G58" s="312"/>
      <c r="H58" s="312"/>
      <c r="I58" s="313"/>
      <c r="R58" s="313" t="s">
        <v>34</v>
      </c>
    </row>
    <row r="59" spans="1:18" x14ac:dyDescent="0.25">
      <c r="A59" s="314"/>
      <c r="B59" s="315"/>
      <c r="C59" s="316"/>
      <c r="D59" s="316"/>
      <c r="E59" s="316"/>
      <c r="F59" s="316"/>
      <c r="G59" s="316"/>
      <c r="H59" s="316"/>
    </row>
    <row r="60" spans="1:18" x14ac:dyDescent="0.25">
      <c r="A60" s="314"/>
      <c r="B60" s="315"/>
      <c r="C60" s="316"/>
      <c r="D60" s="316"/>
      <c r="E60" s="316"/>
      <c r="F60" s="316"/>
      <c r="G60" s="316"/>
      <c r="H60" s="316"/>
    </row>
    <row r="61" spans="1:18" x14ac:dyDescent="0.25">
      <c r="A61" s="314"/>
      <c r="B61" s="315"/>
      <c r="C61" s="316"/>
      <c r="D61" s="316"/>
      <c r="E61" s="316"/>
      <c r="F61" s="316"/>
      <c r="G61" s="316"/>
      <c r="H61" s="316"/>
    </row>
    <row r="62" spans="1:18" x14ac:dyDescent="0.25">
      <c r="A62" s="314"/>
      <c r="B62" s="315"/>
      <c r="C62" s="316"/>
      <c r="D62" s="316"/>
      <c r="E62" s="316"/>
      <c r="F62" s="316"/>
      <c r="G62" s="316"/>
      <c r="H62" s="316"/>
    </row>
    <row r="63" spans="1:18" x14ac:dyDescent="0.25">
      <c r="A63" s="314"/>
      <c r="B63" s="315"/>
      <c r="C63" s="316"/>
      <c r="D63" s="316"/>
      <c r="E63" s="316"/>
      <c r="F63" s="316"/>
      <c r="G63" s="316"/>
      <c r="H63" s="316"/>
    </row>
    <row r="64" spans="1:18" x14ac:dyDescent="0.25">
      <c r="A64" s="314"/>
      <c r="B64" s="315"/>
      <c r="C64" s="316"/>
      <c r="D64" s="316"/>
      <c r="E64" s="316"/>
      <c r="F64" s="316"/>
      <c r="G64" s="316"/>
      <c r="H64" s="316"/>
    </row>
    <row r="65" spans="1:8" x14ac:dyDescent="0.25">
      <c r="A65" s="314"/>
      <c r="B65" s="315"/>
      <c r="C65" s="316"/>
      <c r="D65" s="316"/>
      <c r="E65" s="316"/>
      <c r="F65" s="316"/>
      <c r="G65" s="316"/>
      <c r="H65" s="316"/>
    </row>
    <row r="66" spans="1:8" x14ac:dyDescent="0.25">
      <c r="A66" s="314"/>
      <c r="B66" s="315"/>
      <c r="C66" s="316"/>
      <c r="D66" s="316"/>
      <c r="E66" s="316"/>
      <c r="F66" s="316"/>
      <c r="G66" s="316"/>
      <c r="H66" s="316"/>
    </row>
    <row r="67" spans="1:8" x14ac:dyDescent="0.25">
      <c r="A67" s="314"/>
      <c r="B67" s="315"/>
      <c r="C67" s="316"/>
      <c r="D67" s="316"/>
      <c r="E67" s="316"/>
      <c r="F67" s="316"/>
      <c r="G67" s="316"/>
      <c r="H67" s="316"/>
    </row>
    <row r="68" spans="1:8" x14ac:dyDescent="0.25">
      <c r="A68" s="314"/>
      <c r="B68" s="315"/>
      <c r="C68" s="316"/>
      <c r="D68" s="316"/>
      <c r="E68" s="316"/>
      <c r="F68" s="316"/>
      <c r="G68" s="316"/>
      <c r="H68" s="316"/>
    </row>
    <row r="69" spans="1:8" x14ac:dyDescent="0.25">
      <c r="A69" s="314"/>
      <c r="B69" s="315"/>
      <c r="C69" s="316"/>
      <c r="D69" s="316"/>
      <c r="E69" s="316"/>
      <c r="F69" s="316"/>
      <c r="G69" s="316"/>
      <c r="H69" s="316"/>
    </row>
    <row r="70" spans="1:8" x14ac:dyDescent="0.25">
      <c r="A70" s="314"/>
      <c r="B70" s="315"/>
      <c r="C70" s="316"/>
      <c r="D70" s="316"/>
      <c r="E70" s="316"/>
      <c r="F70" s="316"/>
      <c r="G70" s="316"/>
      <c r="H70" s="316"/>
    </row>
    <row r="71" spans="1:8" x14ac:dyDescent="0.25">
      <c r="A71" s="314"/>
      <c r="B71" s="315"/>
      <c r="C71" s="316"/>
      <c r="D71" s="316"/>
      <c r="E71" s="316"/>
      <c r="F71" s="316"/>
      <c r="G71" s="316"/>
      <c r="H71" s="316"/>
    </row>
    <row r="72" spans="1:8" x14ac:dyDescent="0.25">
      <c r="A72" s="314"/>
      <c r="B72" s="315"/>
      <c r="C72" s="316"/>
      <c r="D72" s="316"/>
      <c r="E72" s="316"/>
      <c r="F72" s="316"/>
      <c r="G72" s="316"/>
      <c r="H72" s="316"/>
    </row>
    <row r="73" spans="1:8" x14ac:dyDescent="0.25">
      <c r="A73" s="314"/>
      <c r="B73" s="315"/>
      <c r="C73" s="316"/>
      <c r="D73" s="316"/>
      <c r="E73" s="316"/>
      <c r="F73" s="316"/>
      <c r="G73" s="316"/>
      <c r="H73" s="316"/>
    </row>
    <row r="74" spans="1:8" x14ac:dyDescent="0.25">
      <c r="A74" s="314"/>
      <c r="B74" s="315"/>
      <c r="C74" s="316"/>
      <c r="D74" s="316"/>
      <c r="E74" s="316"/>
      <c r="F74" s="316"/>
      <c r="G74" s="316"/>
      <c r="H74" s="316"/>
    </row>
    <row r="75" spans="1:8" x14ac:dyDescent="0.25">
      <c r="A75" s="314"/>
      <c r="B75" s="315"/>
      <c r="C75" s="316"/>
      <c r="D75" s="316"/>
      <c r="E75" s="316"/>
      <c r="F75" s="316"/>
      <c r="G75" s="316"/>
      <c r="H75" s="316"/>
    </row>
    <row r="76" spans="1:8" x14ac:dyDescent="0.25">
      <c r="A76" s="314"/>
      <c r="B76" s="315"/>
      <c r="C76" s="316"/>
      <c r="D76" s="316"/>
      <c r="E76" s="316"/>
      <c r="F76" s="316"/>
      <c r="G76" s="316"/>
      <c r="H76" s="316"/>
    </row>
    <row r="77" spans="1:8" x14ac:dyDescent="0.25">
      <c r="A77" s="314"/>
      <c r="B77" s="315"/>
      <c r="C77" s="316"/>
      <c r="D77" s="316"/>
      <c r="E77" s="316"/>
      <c r="F77" s="316"/>
      <c r="G77" s="316"/>
      <c r="H77" s="316"/>
    </row>
    <row r="78" spans="1:8" x14ac:dyDescent="0.25">
      <c r="A78" s="314"/>
      <c r="B78" s="315"/>
      <c r="C78" s="316"/>
      <c r="D78" s="316"/>
      <c r="E78" s="316"/>
      <c r="F78" s="316"/>
      <c r="G78" s="316"/>
      <c r="H78" s="316"/>
    </row>
    <row r="79" spans="1:8" x14ac:dyDescent="0.25">
      <c r="A79" s="314"/>
      <c r="B79" s="315"/>
      <c r="C79" s="316"/>
      <c r="D79" s="316"/>
      <c r="E79" s="316"/>
      <c r="F79" s="316"/>
      <c r="G79" s="316"/>
      <c r="H79" s="316"/>
    </row>
    <row r="80" spans="1:8" x14ac:dyDescent="0.25">
      <c r="A80" s="314"/>
      <c r="B80" s="315"/>
      <c r="C80" s="316"/>
      <c r="D80" s="316"/>
      <c r="E80" s="316"/>
      <c r="F80" s="316"/>
      <c r="G80" s="316"/>
      <c r="H80" s="316"/>
    </row>
    <row r="81" spans="1:8" x14ac:dyDescent="0.25">
      <c r="A81" s="314"/>
      <c r="B81" s="315"/>
      <c r="C81" s="316"/>
      <c r="D81" s="316"/>
      <c r="E81" s="316"/>
      <c r="F81" s="316"/>
      <c r="G81" s="316"/>
      <c r="H81" s="316"/>
    </row>
    <row r="82" spans="1:8" x14ac:dyDescent="0.25">
      <c r="A82" s="314"/>
      <c r="B82" s="315"/>
      <c r="C82" s="316"/>
      <c r="D82" s="316"/>
      <c r="E82" s="316"/>
      <c r="F82" s="316"/>
      <c r="G82" s="316"/>
      <c r="H82" s="316"/>
    </row>
    <row r="83" spans="1:8" x14ac:dyDescent="0.25">
      <c r="A83" s="314"/>
      <c r="B83" s="315"/>
      <c r="C83" s="316"/>
      <c r="D83" s="316"/>
      <c r="E83" s="316"/>
      <c r="F83" s="316"/>
      <c r="G83" s="316"/>
      <c r="H83" s="316"/>
    </row>
    <row r="84" spans="1:8" x14ac:dyDescent="0.25">
      <c r="A84" s="314"/>
      <c r="B84" s="315"/>
      <c r="C84" s="316"/>
      <c r="D84" s="316"/>
      <c r="E84" s="316"/>
      <c r="F84" s="316"/>
      <c r="G84" s="316"/>
      <c r="H84" s="316"/>
    </row>
    <row r="85" spans="1:8" x14ac:dyDescent="0.25">
      <c r="A85" s="314"/>
      <c r="B85" s="315"/>
      <c r="C85" s="316"/>
      <c r="D85" s="316"/>
      <c r="E85" s="316"/>
      <c r="F85" s="316"/>
      <c r="G85" s="316"/>
      <c r="H85" s="316"/>
    </row>
    <row r="86" spans="1:8" x14ac:dyDescent="0.25">
      <c r="A86" s="314"/>
      <c r="B86" s="315"/>
      <c r="C86" s="316"/>
      <c r="D86" s="316"/>
      <c r="E86" s="316"/>
      <c r="F86" s="316"/>
      <c r="G86" s="316"/>
      <c r="H86" s="316"/>
    </row>
    <row r="87" spans="1:8" x14ac:dyDescent="0.25">
      <c r="A87" s="314"/>
      <c r="B87" s="315"/>
      <c r="C87" s="316"/>
      <c r="D87" s="316"/>
      <c r="E87" s="316"/>
      <c r="F87" s="316"/>
      <c r="G87" s="316"/>
      <c r="H87" s="316"/>
    </row>
    <row r="88" spans="1:8" x14ac:dyDescent="0.25">
      <c r="A88" s="314"/>
      <c r="B88" s="315"/>
      <c r="C88" s="316"/>
      <c r="D88" s="316"/>
      <c r="E88" s="316"/>
      <c r="F88" s="316"/>
      <c r="G88" s="316"/>
      <c r="H88" s="316"/>
    </row>
    <row r="89" spans="1:8" x14ac:dyDescent="0.25">
      <c r="A89" s="314"/>
      <c r="B89" s="315"/>
      <c r="C89" s="316"/>
      <c r="D89" s="316"/>
      <c r="E89" s="316"/>
      <c r="F89" s="316"/>
      <c r="G89" s="316"/>
      <c r="H89" s="316"/>
    </row>
    <row r="90" spans="1:8" x14ac:dyDescent="0.25">
      <c r="A90" s="314"/>
      <c r="B90" s="315"/>
      <c r="C90" s="316"/>
      <c r="D90" s="316"/>
      <c r="E90" s="316"/>
      <c r="F90" s="316"/>
      <c r="G90" s="316"/>
      <c r="H90" s="316"/>
    </row>
    <row r="91" spans="1:8" x14ac:dyDescent="0.25">
      <c r="A91" s="314"/>
      <c r="B91" s="315"/>
      <c r="C91" s="316"/>
      <c r="D91" s="316"/>
      <c r="E91" s="316"/>
      <c r="F91" s="316"/>
      <c r="G91" s="316"/>
      <c r="H91" s="316"/>
    </row>
    <row r="92" spans="1:8" x14ac:dyDescent="0.25">
      <c r="A92" s="314"/>
      <c r="B92" s="315"/>
      <c r="C92" s="316"/>
      <c r="D92" s="316"/>
      <c r="E92" s="316"/>
      <c r="F92" s="316"/>
      <c r="G92" s="316"/>
      <c r="H92" s="316"/>
    </row>
    <row r="93" spans="1:8" x14ac:dyDescent="0.25">
      <c r="A93" s="314"/>
      <c r="B93" s="315"/>
      <c r="C93" s="316"/>
      <c r="D93" s="316"/>
      <c r="E93" s="316"/>
      <c r="F93" s="316"/>
      <c r="G93" s="316"/>
      <c r="H93" s="316"/>
    </row>
    <row r="94" spans="1:8" x14ac:dyDescent="0.25">
      <c r="A94" s="314"/>
      <c r="B94" s="315"/>
      <c r="C94" s="316"/>
      <c r="D94" s="316"/>
      <c r="E94" s="316"/>
      <c r="F94" s="316"/>
      <c r="G94" s="316"/>
      <c r="H94" s="316"/>
    </row>
    <row r="95" spans="1:8" x14ac:dyDescent="0.25">
      <c r="A95" s="314"/>
      <c r="B95" s="315"/>
      <c r="C95" s="316"/>
      <c r="D95" s="316"/>
      <c r="E95" s="316"/>
      <c r="F95" s="316"/>
      <c r="G95" s="316"/>
      <c r="H95" s="316"/>
    </row>
  </sheetData>
  <autoFilter ref="A4:U52"/>
  <mergeCells count="55">
    <mergeCell ref="A53:B53"/>
    <mergeCell ref="A54:B54"/>
    <mergeCell ref="A55:B55"/>
    <mergeCell ref="A56:B56"/>
    <mergeCell ref="A57:B57"/>
    <mergeCell ref="A58:C58"/>
    <mergeCell ref="A49:A50"/>
    <mergeCell ref="B49:B50"/>
    <mergeCell ref="C49:C50"/>
    <mergeCell ref="R49:R50"/>
    <mergeCell ref="A51:B51"/>
    <mergeCell ref="A52:B52"/>
    <mergeCell ref="A44:A45"/>
    <mergeCell ref="B44:B45"/>
    <mergeCell ref="C44:C46"/>
    <mergeCell ref="D44:D45"/>
    <mergeCell ref="R44:R45"/>
    <mergeCell ref="A47:A48"/>
    <mergeCell ref="B47:B48"/>
    <mergeCell ref="C47:C48"/>
    <mergeCell ref="R47:R48"/>
    <mergeCell ref="A40:A41"/>
    <mergeCell ref="B40:B41"/>
    <mergeCell ref="C40:C41"/>
    <mergeCell ref="R40:R41"/>
    <mergeCell ref="A42:A43"/>
    <mergeCell ref="B42:B43"/>
    <mergeCell ref="C42:C43"/>
    <mergeCell ref="R42:R43"/>
    <mergeCell ref="A34:A37"/>
    <mergeCell ref="B34:B35"/>
    <mergeCell ref="C34:C35"/>
    <mergeCell ref="R34:R37"/>
    <mergeCell ref="C36:C37"/>
    <mergeCell ref="A38:A39"/>
    <mergeCell ref="B38:B39"/>
    <mergeCell ref="C38:C39"/>
    <mergeCell ref="R38:R39"/>
    <mergeCell ref="A5:R5"/>
    <mergeCell ref="A6:R6"/>
    <mergeCell ref="A7:A33"/>
    <mergeCell ref="B7:B15"/>
    <mergeCell ref="C7:C15"/>
    <mergeCell ref="R7:R33"/>
    <mergeCell ref="B16:B32"/>
    <mergeCell ref="C16:C32"/>
    <mergeCell ref="I1:J1"/>
    <mergeCell ref="Q1:R1"/>
    <mergeCell ref="A2:R2"/>
    <mergeCell ref="A3:A4"/>
    <mergeCell ref="B3:B4"/>
    <mergeCell ref="C3:C4"/>
    <mergeCell ref="D3:G3"/>
    <mergeCell ref="I3:Q3"/>
    <mergeCell ref="R3:R4"/>
  </mergeCells>
  <pageMargins left="0.51181102362204722" right="0.39370078740157483" top="0.55118110236220474" bottom="0.35433070866141736" header="0.31496062992125984" footer="0.31496062992125984"/>
  <pageSetup paperSize="9" scale="45" fitToHeight="8" orientation="landscape" r:id="rId1"/>
  <headerFooter differentFirst="1">
    <oddHeader>&amp;C&amp;P</oddHeader>
  </headerFooter>
  <rowBreaks count="1" manualBreakCount="1">
    <brk id="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34"/>
  <sheetViews>
    <sheetView view="pageBreakPreview" zoomScale="79" zoomScaleNormal="79" zoomScaleSheetLayoutView="79" workbookViewId="0">
      <pane ySplit="5" topLeftCell="A21" activePane="bottomLeft" state="frozen"/>
      <selection activeCell="Q12" sqref="Q12"/>
      <selection pane="bottomLeft" activeCell="G19" sqref="G19"/>
    </sheetView>
  </sheetViews>
  <sheetFormatPr defaultRowHeight="15.75" x14ac:dyDescent="0.25"/>
  <cols>
    <col min="1" max="1" width="6.28515625" style="184" customWidth="1"/>
    <col min="2" max="2" width="79.140625" style="53" customWidth="1"/>
    <col min="3" max="3" width="12" style="53" customWidth="1"/>
    <col min="4" max="4" width="11.42578125" style="53" hidden="1" customWidth="1"/>
    <col min="5" max="10" width="11.42578125" style="53" customWidth="1"/>
    <col min="11" max="11" width="9.140625" style="53"/>
    <col min="12" max="12" width="8.140625" style="53" customWidth="1"/>
    <col min="13" max="16384" width="9.140625" style="53"/>
  </cols>
  <sheetData>
    <row r="1" spans="1:16" ht="36.75" customHeight="1" x14ac:dyDescent="0.25">
      <c r="A1" s="118"/>
      <c r="B1" s="119"/>
      <c r="C1" s="120"/>
      <c r="E1" s="121" t="s">
        <v>325</v>
      </c>
      <c r="F1" s="121"/>
      <c r="G1" s="121"/>
      <c r="H1" s="121"/>
      <c r="I1" s="121"/>
      <c r="J1" s="121"/>
      <c r="K1" s="121"/>
      <c r="L1" s="121"/>
    </row>
    <row r="2" spans="1:16" ht="37.5" customHeight="1" x14ac:dyDescent="0.25">
      <c r="A2" s="208" t="s">
        <v>246</v>
      </c>
      <c r="B2" s="208"/>
      <c r="C2" s="208"/>
      <c r="D2" s="208"/>
      <c r="E2" s="208"/>
      <c r="F2" s="208"/>
      <c r="G2" s="208"/>
      <c r="H2" s="208"/>
      <c r="I2" s="208"/>
      <c r="J2" s="208"/>
    </row>
    <row r="3" spans="1:16" ht="25.5" customHeight="1" x14ac:dyDescent="0.25">
      <c r="A3" s="124" t="s">
        <v>89</v>
      </c>
      <c r="B3" s="125" t="s">
        <v>247</v>
      </c>
      <c r="C3" s="125" t="s">
        <v>91</v>
      </c>
      <c r="D3" s="50" t="s">
        <v>94</v>
      </c>
      <c r="E3" s="50" t="s">
        <v>41</v>
      </c>
      <c r="F3" s="50" t="s">
        <v>42</v>
      </c>
      <c r="G3" s="50" t="s">
        <v>43</v>
      </c>
      <c r="H3" s="50" t="s">
        <v>44</v>
      </c>
      <c r="I3" s="50" t="s">
        <v>45</v>
      </c>
      <c r="J3" s="50" t="s">
        <v>46</v>
      </c>
      <c r="K3" s="50" t="s">
        <v>47</v>
      </c>
      <c r="L3" s="50" t="s">
        <v>48</v>
      </c>
      <c r="M3" s="50" t="s">
        <v>49</v>
      </c>
    </row>
    <row r="4" spans="1:16" ht="12.75" customHeight="1" x14ac:dyDescent="0.25">
      <c r="A4" s="124"/>
      <c r="B4" s="125"/>
      <c r="C4" s="125"/>
      <c r="D4" s="50"/>
      <c r="E4" s="50"/>
      <c r="F4" s="50"/>
      <c r="G4" s="50"/>
      <c r="H4" s="50"/>
      <c r="I4" s="50"/>
      <c r="J4" s="50"/>
      <c r="K4" s="50"/>
      <c r="L4" s="50"/>
      <c r="M4" s="50"/>
    </row>
    <row r="5" spans="1:16" ht="25.5" customHeight="1" x14ac:dyDescent="0.25">
      <c r="A5" s="124"/>
      <c r="B5" s="125"/>
      <c r="C5" s="125"/>
      <c r="D5" s="50"/>
      <c r="E5" s="50"/>
      <c r="F5" s="50"/>
      <c r="G5" s="50"/>
      <c r="H5" s="50"/>
      <c r="I5" s="50"/>
      <c r="J5" s="50"/>
      <c r="K5" s="50"/>
      <c r="L5" s="50"/>
      <c r="M5" s="50"/>
    </row>
    <row r="6" spans="1:16" ht="35.1" customHeight="1" x14ac:dyDescent="0.25">
      <c r="A6" s="319" t="s">
        <v>326</v>
      </c>
      <c r="B6" s="320"/>
      <c r="C6" s="320"/>
      <c r="D6" s="320"/>
      <c r="E6" s="320"/>
      <c r="F6" s="320"/>
      <c r="G6" s="320"/>
      <c r="H6" s="320"/>
      <c r="I6" s="320"/>
      <c r="J6" s="320"/>
      <c r="K6" s="320"/>
      <c r="L6" s="321"/>
    </row>
    <row r="7" spans="1:16" ht="35.1" customHeight="1" x14ac:dyDescent="0.25">
      <c r="A7" s="322" t="s">
        <v>327</v>
      </c>
      <c r="B7" s="323"/>
      <c r="C7" s="323"/>
      <c r="D7" s="323"/>
      <c r="E7" s="323"/>
      <c r="F7" s="323"/>
      <c r="G7" s="323"/>
      <c r="H7" s="323"/>
      <c r="I7" s="323"/>
      <c r="J7" s="323"/>
      <c r="K7" s="323"/>
      <c r="L7" s="324"/>
    </row>
    <row r="8" spans="1:16" ht="35.1" customHeight="1" x14ac:dyDescent="0.25">
      <c r="A8" s="35" t="s">
        <v>250</v>
      </c>
      <c r="B8" s="325" t="s">
        <v>328</v>
      </c>
      <c r="C8" s="34" t="s">
        <v>97</v>
      </c>
      <c r="D8" s="326">
        <v>546.29999999999995</v>
      </c>
      <c r="E8" s="145">
        <v>57.12</v>
      </c>
      <c r="F8" s="145">
        <v>71.400000000000006</v>
      </c>
      <c r="G8" s="145">
        <v>85.7</v>
      </c>
      <c r="H8" s="145">
        <v>85.7</v>
      </c>
      <c r="I8" s="137">
        <v>85.7</v>
      </c>
      <c r="J8" s="137">
        <v>85.7</v>
      </c>
      <c r="K8" s="137">
        <v>85.7</v>
      </c>
      <c r="L8" s="137">
        <v>85.7</v>
      </c>
      <c r="M8" s="137">
        <v>85.7</v>
      </c>
    </row>
    <row r="9" spans="1:16" ht="35.1" customHeight="1" x14ac:dyDescent="0.25">
      <c r="A9" s="35" t="s">
        <v>251</v>
      </c>
      <c r="B9" s="325" t="s">
        <v>129</v>
      </c>
      <c r="C9" s="34" t="s">
        <v>97</v>
      </c>
      <c r="D9" s="115">
        <v>80</v>
      </c>
      <c r="E9" s="145">
        <v>75</v>
      </c>
      <c r="F9" s="145">
        <v>75</v>
      </c>
      <c r="G9" s="145">
        <v>75</v>
      </c>
      <c r="H9" s="145">
        <v>85</v>
      </c>
      <c r="I9" s="145">
        <v>85</v>
      </c>
      <c r="J9" s="145">
        <v>85</v>
      </c>
      <c r="K9" s="145">
        <v>85</v>
      </c>
      <c r="L9" s="145">
        <v>85</v>
      </c>
      <c r="M9" s="145">
        <v>85</v>
      </c>
      <c r="N9" s="231"/>
      <c r="O9" s="231"/>
      <c r="P9" s="231"/>
    </row>
    <row r="10" spans="1:16" ht="35.1" customHeight="1" x14ac:dyDescent="0.25">
      <c r="A10" s="35" t="s">
        <v>252</v>
      </c>
      <c r="B10" s="325" t="s">
        <v>131</v>
      </c>
      <c r="C10" s="34" t="s">
        <v>132</v>
      </c>
      <c r="D10" s="34" t="s">
        <v>127</v>
      </c>
      <c r="E10" s="145">
        <v>9</v>
      </c>
      <c r="F10" s="145">
        <v>8</v>
      </c>
      <c r="G10" s="145">
        <v>8</v>
      </c>
      <c r="H10" s="145">
        <v>8</v>
      </c>
      <c r="I10" s="137">
        <v>8</v>
      </c>
      <c r="J10" s="137">
        <v>8</v>
      </c>
      <c r="K10" s="137">
        <v>8</v>
      </c>
      <c r="L10" s="137">
        <v>8</v>
      </c>
      <c r="M10" s="137">
        <v>8</v>
      </c>
    </row>
    <row r="11" spans="1:16" ht="35.1" customHeight="1" x14ac:dyDescent="0.25">
      <c r="A11" s="35" t="s">
        <v>254</v>
      </c>
      <c r="B11" s="325" t="s">
        <v>134</v>
      </c>
      <c r="C11" s="34" t="s">
        <v>97</v>
      </c>
      <c r="D11" s="34"/>
      <c r="E11" s="145">
        <v>100</v>
      </c>
      <c r="F11" s="145">
        <v>100</v>
      </c>
      <c r="G11" s="145">
        <v>100</v>
      </c>
      <c r="H11" s="145">
        <v>100</v>
      </c>
      <c r="I11" s="137">
        <v>100</v>
      </c>
      <c r="J11" s="137">
        <v>100</v>
      </c>
      <c r="K11" s="137">
        <v>100</v>
      </c>
      <c r="L11" s="137">
        <v>100</v>
      </c>
      <c r="M11" s="137">
        <v>100</v>
      </c>
    </row>
    <row r="12" spans="1:16" ht="35.1" customHeight="1" x14ac:dyDescent="0.25">
      <c r="A12" s="35" t="s">
        <v>329</v>
      </c>
      <c r="B12" s="325" t="s">
        <v>136</v>
      </c>
      <c r="C12" s="34" t="s">
        <v>132</v>
      </c>
      <c r="D12" s="34" t="s">
        <v>127</v>
      </c>
      <c r="E12" s="145">
        <v>6</v>
      </c>
      <c r="F12" s="145">
        <v>7</v>
      </c>
      <c r="G12" s="145">
        <v>7</v>
      </c>
      <c r="H12" s="145">
        <v>7</v>
      </c>
      <c r="I12" s="145">
        <v>7</v>
      </c>
      <c r="J12" s="145">
        <v>7</v>
      </c>
      <c r="K12" s="145">
        <v>7</v>
      </c>
      <c r="L12" s="145">
        <v>7</v>
      </c>
      <c r="M12" s="145">
        <v>7</v>
      </c>
    </row>
    <row r="13" spans="1:16" ht="35.1" customHeight="1" x14ac:dyDescent="0.25">
      <c r="A13" s="322" t="s">
        <v>330</v>
      </c>
      <c r="B13" s="323"/>
      <c r="C13" s="323"/>
      <c r="D13" s="323"/>
      <c r="E13" s="323"/>
      <c r="F13" s="323"/>
      <c r="G13" s="323"/>
      <c r="H13" s="323"/>
      <c r="I13" s="323"/>
      <c r="J13" s="323"/>
      <c r="K13" s="323"/>
      <c r="L13" s="324"/>
    </row>
    <row r="14" spans="1:16" ht="31.5" x14ac:dyDescent="0.25">
      <c r="A14" s="35" t="s">
        <v>331</v>
      </c>
      <c r="B14" s="325" t="s">
        <v>139</v>
      </c>
      <c r="C14" s="128" t="s">
        <v>97</v>
      </c>
      <c r="D14" s="128">
        <v>1.96</v>
      </c>
      <c r="E14" s="145">
        <v>87.5</v>
      </c>
      <c r="F14" s="145">
        <v>100</v>
      </c>
      <c r="G14" s="145">
        <v>100</v>
      </c>
      <c r="H14" s="145">
        <v>100</v>
      </c>
      <c r="I14" s="149">
        <v>100</v>
      </c>
      <c r="J14" s="149">
        <v>100</v>
      </c>
      <c r="K14" s="149">
        <v>100</v>
      </c>
      <c r="L14" s="149">
        <v>100</v>
      </c>
      <c r="M14" s="149">
        <v>100</v>
      </c>
    </row>
    <row r="15" spans="1:16" ht="31.5" x14ac:dyDescent="0.25">
      <c r="A15" s="35" t="s">
        <v>332</v>
      </c>
      <c r="B15" s="325" t="s">
        <v>141</v>
      </c>
      <c r="C15" s="34" t="s">
        <v>97</v>
      </c>
      <c r="D15" s="137">
        <v>2.34</v>
      </c>
      <c r="E15" s="145">
        <v>85</v>
      </c>
      <c r="F15" s="145">
        <v>89</v>
      </c>
      <c r="G15" s="145">
        <v>90</v>
      </c>
      <c r="H15" s="145">
        <v>90</v>
      </c>
      <c r="I15" s="149">
        <v>95</v>
      </c>
      <c r="J15" s="149">
        <v>95</v>
      </c>
      <c r="K15" s="149">
        <v>95</v>
      </c>
      <c r="L15" s="149">
        <v>95</v>
      </c>
      <c r="M15" s="149">
        <v>95</v>
      </c>
    </row>
    <row r="16" spans="1:16" ht="63" x14ac:dyDescent="0.25">
      <c r="A16" s="35" t="s">
        <v>333</v>
      </c>
      <c r="B16" s="325" t="s">
        <v>143</v>
      </c>
      <c r="C16" s="34" t="s">
        <v>97</v>
      </c>
      <c r="D16" s="137"/>
      <c r="E16" s="145">
        <v>10.199999999999999</v>
      </c>
      <c r="F16" s="145">
        <v>10.1</v>
      </c>
      <c r="G16" s="145">
        <v>10.1</v>
      </c>
      <c r="H16" s="145">
        <v>9.1</v>
      </c>
      <c r="I16" s="149">
        <v>9.5</v>
      </c>
      <c r="J16" s="149">
        <v>10.1</v>
      </c>
      <c r="K16" s="149">
        <v>10.1</v>
      </c>
      <c r="L16" s="149">
        <v>10.1</v>
      </c>
      <c r="M16" s="149">
        <v>10.1</v>
      </c>
    </row>
    <row r="17" spans="1:20" ht="63" x14ac:dyDescent="0.25">
      <c r="A17" s="35" t="s">
        <v>334</v>
      </c>
      <c r="B17" s="325" t="s">
        <v>145</v>
      </c>
      <c r="C17" s="34" t="s">
        <v>97</v>
      </c>
      <c r="D17" s="137"/>
      <c r="E17" s="145">
        <v>1.1299999999999999</v>
      </c>
      <c r="F17" s="145">
        <v>1.57</v>
      </c>
      <c r="G17" s="145">
        <v>1.72</v>
      </c>
      <c r="H17" s="145">
        <v>1.86</v>
      </c>
      <c r="I17" s="145">
        <v>1.87</v>
      </c>
      <c r="J17" s="145">
        <v>1.9</v>
      </c>
      <c r="K17" s="145">
        <v>1.9</v>
      </c>
      <c r="L17" s="145">
        <v>1.9</v>
      </c>
      <c r="M17" s="145">
        <v>1.9</v>
      </c>
    </row>
    <row r="18" spans="1:20" ht="47.25" x14ac:dyDescent="0.25">
      <c r="A18" s="35" t="s">
        <v>335</v>
      </c>
      <c r="B18" s="325" t="s">
        <v>147</v>
      </c>
      <c r="C18" s="34" t="s">
        <v>97</v>
      </c>
      <c r="D18" s="137"/>
      <c r="E18" s="145">
        <v>39</v>
      </c>
      <c r="F18" s="145">
        <v>41</v>
      </c>
      <c r="G18" s="145">
        <v>41</v>
      </c>
      <c r="H18" s="145">
        <v>42.5</v>
      </c>
      <c r="I18" s="149">
        <v>48.8</v>
      </c>
      <c r="J18" s="149">
        <v>50.2</v>
      </c>
      <c r="K18" s="149">
        <v>50.2</v>
      </c>
      <c r="L18" s="149">
        <v>50.2</v>
      </c>
      <c r="M18" s="149">
        <v>50.2</v>
      </c>
    </row>
    <row r="19" spans="1:20" ht="63" x14ac:dyDescent="0.25">
      <c r="A19" s="35" t="s">
        <v>336</v>
      </c>
      <c r="B19" s="325" t="s">
        <v>149</v>
      </c>
      <c r="C19" s="12" t="s">
        <v>97</v>
      </c>
      <c r="D19" s="137"/>
      <c r="E19" s="145">
        <v>1.96</v>
      </c>
      <c r="F19" s="145">
        <v>0</v>
      </c>
      <c r="G19" s="145">
        <v>0</v>
      </c>
      <c r="H19" s="145">
        <v>0</v>
      </c>
      <c r="I19" s="149">
        <v>0</v>
      </c>
      <c r="J19" s="149">
        <v>0</v>
      </c>
      <c r="K19" s="149">
        <v>0</v>
      </c>
      <c r="L19" s="149">
        <v>0</v>
      </c>
      <c r="M19" s="149">
        <v>0</v>
      </c>
    </row>
    <row r="20" spans="1:20" ht="47.25" x14ac:dyDescent="0.25">
      <c r="A20" s="35" t="s">
        <v>337</v>
      </c>
      <c r="B20" s="325" t="s">
        <v>151</v>
      </c>
      <c r="C20" s="12" t="s">
        <v>97</v>
      </c>
      <c r="D20" s="137"/>
      <c r="E20" s="145">
        <v>93.4</v>
      </c>
      <c r="F20" s="145">
        <v>93.5</v>
      </c>
      <c r="G20" s="145">
        <v>93.5</v>
      </c>
      <c r="H20" s="145">
        <v>93.5</v>
      </c>
      <c r="I20" s="149">
        <v>95</v>
      </c>
      <c r="J20" s="149">
        <v>95</v>
      </c>
      <c r="K20" s="149">
        <v>95</v>
      </c>
      <c r="L20" s="149">
        <v>95</v>
      </c>
      <c r="M20" s="149">
        <v>95</v>
      </c>
    </row>
    <row r="21" spans="1:20" ht="47.25" x14ac:dyDescent="0.25">
      <c r="A21" s="35" t="s">
        <v>338</v>
      </c>
      <c r="B21" s="325" t="s">
        <v>153</v>
      </c>
      <c r="C21" s="12" t="s">
        <v>97</v>
      </c>
      <c r="D21" s="137"/>
      <c r="E21" s="145">
        <v>92</v>
      </c>
      <c r="F21" s="145">
        <v>92</v>
      </c>
      <c r="G21" s="149">
        <v>92</v>
      </c>
      <c r="H21" s="149">
        <v>92</v>
      </c>
      <c r="I21" s="149">
        <v>92</v>
      </c>
      <c r="J21" s="149">
        <v>92</v>
      </c>
      <c r="K21" s="149">
        <v>92</v>
      </c>
      <c r="L21" s="149">
        <v>92</v>
      </c>
      <c r="M21" s="149">
        <v>92</v>
      </c>
    </row>
    <row r="22" spans="1:20" ht="31.5" x14ac:dyDescent="0.25">
      <c r="A22" s="35" t="s">
        <v>339</v>
      </c>
      <c r="B22" s="325" t="s">
        <v>155</v>
      </c>
      <c r="C22" s="12" t="s">
        <v>97</v>
      </c>
      <c r="D22" s="137"/>
      <c r="E22" s="145">
        <v>96</v>
      </c>
      <c r="F22" s="145">
        <v>96.5</v>
      </c>
      <c r="G22" s="149">
        <v>97</v>
      </c>
      <c r="H22" s="149">
        <v>97</v>
      </c>
      <c r="I22" s="149">
        <v>98</v>
      </c>
      <c r="J22" s="149">
        <v>98</v>
      </c>
      <c r="K22" s="149">
        <v>98</v>
      </c>
      <c r="L22" s="149">
        <v>98</v>
      </c>
      <c r="M22" s="149">
        <v>98</v>
      </c>
    </row>
    <row r="23" spans="1:20" ht="94.5" x14ac:dyDescent="0.25">
      <c r="A23" s="35" t="s">
        <v>340</v>
      </c>
      <c r="B23" s="325" t="s">
        <v>157</v>
      </c>
      <c r="C23" s="12" t="s">
        <v>97</v>
      </c>
      <c r="D23" s="137"/>
      <c r="E23" s="145">
        <v>2.5</v>
      </c>
      <c r="F23" s="145">
        <v>3</v>
      </c>
      <c r="G23" s="149">
        <v>3.4</v>
      </c>
      <c r="H23" s="149">
        <v>2.4</v>
      </c>
      <c r="I23" s="149">
        <v>2.8</v>
      </c>
      <c r="J23" s="149">
        <v>2.8</v>
      </c>
      <c r="K23" s="149">
        <v>2.8</v>
      </c>
      <c r="L23" s="149">
        <v>2.8</v>
      </c>
      <c r="M23" s="149">
        <v>2.8</v>
      </c>
    </row>
    <row r="24" spans="1:20" x14ac:dyDescent="0.25">
      <c r="A24" s="322" t="s">
        <v>341</v>
      </c>
      <c r="B24" s="323"/>
      <c r="C24" s="323"/>
      <c r="D24" s="323"/>
      <c r="E24" s="323"/>
      <c r="F24" s="323"/>
      <c r="G24" s="323"/>
      <c r="H24" s="323"/>
      <c r="I24" s="323"/>
      <c r="J24" s="323"/>
      <c r="K24" s="323"/>
      <c r="L24" s="324"/>
    </row>
    <row r="25" spans="1:20" ht="31.5" x14ac:dyDescent="0.25">
      <c r="A25" s="158" t="s">
        <v>342</v>
      </c>
      <c r="B25" s="325" t="s">
        <v>160</v>
      </c>
      <c r="C25" s="34" t="s">
        <v>97</v>
      </c>
      <c r="D25" s="128"/>
      <c r="E25" s="145">
        <v>75</v>
      </c>
      <c r="F25" s="145">
        <v>75</v>
      </c>
      <c r="G25" s="159">
        <v>75</v>
      </c>
      <c r="H25" s="159">
        <v>93</v>
      </c>
      <c r="I25" s="159">
        <v>93.2</v>
      </c>
      <c r="J25" s="159">
        <v>93.4</v>
      </c>
      <c r="K25" s="159">
        <v>93.5</v>
      </c>
      <c r="L25" s="159">
        <v>93.5</v>
      </c>
      <c r="M25" s="159">
        <v>93.5</v>
      </c>
      <c r="N25" s="327"/>
      <c r="O25" s="327"/>
      <c r="P25" s="327"/>
      <c r="Q25" s="327"/>
      <c r="R25" s="327"/>
      <c r="S25" s="327"/>
      <c r="T25" s="327"/>
    </row>
    <row r="26" spans="1:20" ht="31.5" x14ac:dyDescent="0.25">
      <c r="A26" s="158" t="s">
        <v>343</v>
      </c>
      <c r="B26" s="325" t="s">
        <v>344</v>
      </c>
      <c r="C26" s="34" t="s">
        <v>97</v>
      </c>
      <c r="D26" s="128"/>
      <c r="E26" s="145">
        <v>67</v>
      </c>
      <c r="F26" s="145">
        <v>70</v>
      </c>
      <c r="G26" s="159">
        <v>72</v>
      </c>
      <c r="H26" s="159">
        <v>95</v>
      </c>
      <c r="I26" s="159">
        <v>95</v>
      </c>
      <c r="J26" s="159">
        <v>96</v>
      </c>
      <c r="K26" s="159">
        <v>97</v>
      </c>
      <c r="L26" s="159">
        <v>97</v>
      </c>
      <c r="M26" s="159">
        <v>97</v>
      </c>
      <c r="N26" s="327"/>
      <c r="O26" s="327"/>
      <c r="P26" s="327"/>
      <c r="Q26" s="327"/>
      <c r="R26" s="327"/>
      <c r="S26" s="327"/>
      <c r="T26" s="327"/>
    </row>
    <row r="27" spans="1:20" ht="47.25" x14ac:dyDescent="0.25">
      <c r="A27" s="158" t="s">
        <v>345</v>
      </c>
      <c r="B27" s="325" t="s">
        <v>346</v>
      </c>
      <c r="C27" s="34" t="s">
        <v>97</v>
      </c>
      <c r="D27" s="128">
        <v>78.400000000000006</v>
      </c>
      <c r="E27" s="159">
        <v>81</v>
      </c>
      <c r="F27" s="159">
        <v>83</v>
      </c>
      <c r="G27" s="159">
        <v>85</v>
      </c>
      <c r="H27" s="159">
        <v>85</v>
      </c>
      <c r="I27" s="159">
        <v>85</v>
      </c>
      <c r="J27" s="159">
        <v>85</v>
      </c>
      <c r="K27" s="159">
        <v>85</v>
      </c>
      <c r="L27" s="159">
        <v>85</v>
      </c>
      <c r="M27" s="159">
        <v>85</v>
      </c>
    </row>
    <row r="28" spans="1:20" ht="31.5" x14ac:dyDescent="0.25">
      <c r="A28" s="158" t="s">
        <v>347</v>
      </c>
      <c r="B28" s="325" t="s">
        <v>164</v>
      </c>
      <c r="C28" s="34" t="s">
        <v>97</v>
      </c>
      <c r="D28" s="128"/>
      <c r="E28" s="145">
        <v>15</v>
      </c>
      <c r="F28" s="145">
        <v>15</v>
      </c>
      <c r="G28" s="159">
        <v>16.5</v>
      </c>
      <c r="H28" s="159">
        <v>18.3</v>
      </c>
      <c r="I28" s="159">
        <v>19.100000000000001</v>
      </c>
      <c r="J28" s="159">
        <v>19.5</v>
      </c>
      <c r="K28" s="159">
        <v>19.5</v>
      </c>
      <c r="L28" s="159">
        <v>19.5</v>
      </c>
      <c r="M28" s="159">
        <v>19.5</v>
      </c>
    </row>
    <row r="29" spans="1:20" ht="36.75" customHeight="1" x14ac:dyDescent="0.25">
      <c r="A29" s="331" t="s">
        <v>348</v>
      </c>
      <c r="B29" s="332"/>
      <c r="C29" s="332"/>
      <c r="D29" s="332"/>
      <c r="E29" s="332"/>
      <c r="F29" s="332"/>
      <c r="G29" s="332"/>
      <c r="H29" s="332"/>
      <c r="I29" s="332"/>
      <c r="J29" s="332"/>
      <c r="K29" s="332"/>
      <c r="L29" s="333"/>
      <c r="M29" s="334"/>
    </row>
    <row r="30" spans="1:20" ht="47.25" x14ac:dyDescent="0.25">
      <c r="A30" s="335" t="s">
        <v>349</v>
      </c>
      <c r="B30" s="336" t="s">
        <v>350</v>
      </c>
      <c r="C30" s="110" t="s">
        <v>97</v>
      </c>
      <c r="D30" s="167"/>
      <c r="E30" s="337"/>
      <c r="F30" s="337"/>
      <c r="G30" s="338"/>
      <c r="H30" s="338"/>
      <c r="I30" s="338"/>
      <c r="J30" s="338"/>
      <c r="K30" s="338">
        <v>25</v>
      </c>
      <c r="L30" s="338">
        <v>25</v>
      </c>
      <c r="M30" s="338">
        <v>25</v>
      </c>
    </row>
    <row r="31" spans="1:20" x14ac:dyDescent="0.25">
      <c r="A31" s="339"/>
      <c r="B31" s="340"/>
      <c r="C31" s="341"/>
      <c r="D31" s="126"/>
      <c r="E31" s="342"/>
      <c r="F31" s="342"/>
      <c r="G31" s="160"/>
      <c r="H31" s="160"/>
      <c r="I31" s="160"/>
      <c r="J31" s="160"/>
      <c r="K31" s="160"/>
      <c r="L31" s="160"/>
      <c r="M31" s="160"/>
    </row>
    <row r="32" spans="1:20" x14ac:dyDescent="0.25">
      <c r="A32" s="233"/>
      <c r="B32" s="234"/>
      <c r="C32" s="126"/>
      <c r="D32" s="235"/>
      <c r="E32" s="235"/>
      <c r="F32" s="235"/>
      <c r="G32" s="235"/>
      <c r="H32" s="235"/>
      <c r="I32" s="235"/>
      <c r="J32" s="235"/>
    </row>
    <row r="33" spans="1:10" x14ac:dyDescent="0.25">
      <c r="A33" s="233"/>
      <c r="B33" s="234"/>
      <c r="C33" s="126"/>
      <c r="D33" s="235"/>
      <c r="E33" s="235"/>
      <c r="F33" s="235"/>
      <c r="G33" s="235"/>
      <c r="H33" s="235"/>
      <c r="I33" s="235"/>
      <c r="J33" s="235"/>
    </row>
    <row r="34" spans="1:10" ht="18.75" x14ac:dyDescent="0.3">
      <c r="A34" s="328" t="s">
        <v>33</v>
      </c>
      <c r="B34" s="328"/>
      <c r="C34" s="328"/>
      <c r="D34" s="329"/>
      <c r="E34" s="329"/>
      <c r="F34" s="329"/>
      <c r="G34" s="330"/>
      <c r="H34" s="343" t="s">
        <v>34</v>
      </c>
      <c r="I34" s="343"/>
      <c r="J34" s="344"/>
    </row>
  </sheetData>
  <mergeCells count="20">
    <mergeCell ref="A7:L7"/>
    <mergeCell ref="A13:L13"/>
    <mergeCell ref="A24:L24"/>
    <mergeCell ref="A29:L29"/>
    <mergeCell ref="I3:I5"/>
    <mergeCell ref="J3:J5"/>
    <mergeCell ref="K3:K5"/>
    <mergeCell ref="L3:L5"/>
    <mergeCell ref="M3:M5"/>
    <mergeCell ref="A6:L6"/>
    <mergeCell ref="E1:L1"/>
    <mergeCell ref="A2:J2"/>
    <mergeCell ref="A3:A5"/>
    <mergeCell ref="B3:B5"/>
    <mergeCell ref="C3:C5"/>
    <mergeCell ref="D3:D5"/>
    <mergeCell ref="E3:E5"/>
    <mergeCell ref="F3:F5"/>
    <mergeCell ref="G3:G5"/>
    <mergeCell ref="H3:H5"/>
  </mergeCells>
  <pageMargins left="0.31496062992125984" right="0.31496062992125984" top="0.55118110236220474" bottom="0.35433070866141736" header="0.31496062992125984" footer="0.31496062992125984"/>
  <pageSetup paperSize="9" scale="74" fitToHeight="4" orientation="landscape" r:id="rId1"/>
  <headerFooter differentFirst="1">
    <oddHeader>&amp;C&amp;P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166"/>
  <sheetViews>
    <sheetView view="pageBreakPreview" topLeftCell="D1" zoomScale="98" zoomScaleNormal="98" zoomScaleSheetLayoutView="98" workbookViewId="0">
      <selection activeCell="M16" sqref="M16"/>
    </sheetView>
  </sheetViews>
  <sheetFormatPr defaultColWidth="9.28515625" defaultRowHeight="15.75" x14ac:dyDescent="0.25"/>
  <cols>
    <col min="1" max="1" width="6.5703125" style="317" customWidth="1"/>
    <col min="2" max="2" width="60.7109375" style="438" customWidth="1"/>
    <col min="3" max="3" width="21.7109375" style="318" customWidth="1"/>
    <col min="4" max="5" width="9.28515625" style="318"/>
    <col min="6" max="6" width="14.85546875" style="318" customWidth="1"/>
    <col min="7" max="7" width="12.42578125" style="318" customWidth="1"/>
    <col min="8" max="8" width="12.7109375" style="318" customWidth="1"/>
    <col min="9" max="12" width="12.7109375" style="53" customWidth="1"/>
    <col min="13" max="13" width="15.28515625" style="53" customWidth="1"/>
    <col min="14" max="16" width="12.7109375" style="81" customWidth="1"/>
    <col min="17" max="17" width="17.140625" style="53" customWidth="1"/>
    <col min="18" max="18" width="55.5703125" style="53" customWidth="1"/>
    <col min="19" max="19" width="12" style="53" customWidth="1"/>
    <col min="20" max="20" width="15.42578125" style="53" customWidth="1"/>
    <col min="21" max="21" width="21.28515625" style="53" customWidth="1"/>
    <col min="22" max="16384" width="9.28515625" style="53"/>
  </cols>
  <sheetData>
    <row r="1" spans="1:21" s="202" customFormat="1" ht="39" customHeight="1" x14ac:dyDescent="0.25">
      <c r="A1" s="240"/>
      <c r="B1" s="345"/>
      <c r="C1" s="242"/>
      <c r="D1" s="242"/>
      <c r="E1" s="242"/>
      <c r="F1" s="242"/>
      <c r="G1" s="242"/>
      <c r="H1" s="242"/>
      <c r="I1" s="243"/>
      <c r="J1" s="243"/>
      <c r="N1" s="177"/>
      <c r="O1" s="121" t="s">
        <v>351</v>
      </c>
      <c r="P1" s="121"/>
      <c r="Q1" s="121"/>
      <c r="R1" s="121"/>
      <c r="S1" s="245"/>
      <c r="T1" s="245"/>
      <c r="U1" s="245"/>
    </row>
    <row r="2" spans="1:21" s="202" customFormat="1" ht="23.25" customHeight="1" x14ac:dyDescent="0.25">
      <c r="A2" s="246" t="s">
        <v>258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346"/>
    </row>
    <row r="3" spans="1:21" s="202" customFormat="1" ht="24.75" customHeight="1" x14ac:dyDescent="0.25">
      <c r="A3" s="50" t="s">
        <v>89</v>
      </c>
      <c r="B3" s="33" t="s">
        <v>259</v>
      </c>
      <c r="C3" s="50" t="s">
        <v>7</v>
      </c>
      <c r="D3" s="50" t="s">
        <v>5</v>
      </c>
      <c r="E3" s="50"/>
      <c r="F3" s="50"/>
      <c r="G3" s="50"/>
      <c r="H3" s="50" t="s">
        <v>6</v>
      </c>
      <c r="I3" s="50"/>
      <c r="J3" s="50"/>
      <c r="K3" s="50"/>
      <c r="L3" s="50"/>
      <c r="M3" s="50"/>
      <c r="N3" s="50"/>
      <c r="O3" s="50"/>
      <c r="P3" s="50"/>
      <c r="Q3" s="50"/>
      <c r="R3" s="50" t="s">
        <v>260</v>
      </c>
    </row>
    <row r="4" spans="1:21" s="202" customFormat="1" ht="42" customHeight="1" x14ac:dyDescent="0.25">
      <c r="A4" s="50"/>
      <c r="B4" s="33"/>
      <c r="C4" s="50"/>
      <c r="D4" s="12" t="s">
        <v>7</v>
      </c>
      <c r="E4" s="12" t="s">
        <v>8</v>
      </c>
      <c r="F4" s="12" t="s">
        <v>9</v>
      </c>
      <c r="G4" s="12" t="s">
        <v>10</v>
      </c>
      <c r="H4" s="12">
        <v>2014</v>
      </c>
      <c r="I4" s="12">
        <v>2015</v>
      </c>
      <c r="J4" s="12">
        <v>2016</v>
      </c>
      <c r="K4" s="12">
        <v>2017</v>
      </c>
      <c r="L4" s="12">
        <v>2018</v>
      </c>
      <c r="M4" s="12">
        <v>2019</v>
      </c>
      <c r="N4" s="88">
        <v>2020</v>
      </c>
      <c r="O4" s="88">
        <v>2021</v>
      </c>
      <c r="P4" s="88">
        <v>2022</v>
      </c>
      <c r="Q4" s="12" t="s">
        <v>11</v>
      </c>
      <c r="R4" s="50"/>
    </row>
    <row r="5" spans="1:21" ht="26.25" customHeight="1" x14ac:dyDescent="0.25">
      <c r="A5" s="33" t="s">
        <v>352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</row>
    <row r="6" spans="1:21" ht="24" customHeight="1" x14ac:dyDescent="0.25">
      <c r="A6" s="247" t="s">
        <v>327</v>
      </c>
      <c r="B6" s="247"/>
      <c r="C6" s="247"/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</row>
    <row r="7" spans="1:21" s="238" customFormat="1" ht="79.5" customHeight="1" x14ac:dyDescent="0.2">
      <c r="A7" s="35" t="s">
        <v>125</v>
      </c>
      <c r="B7" s="30" t="s">
        <v>353</v>
      </c>
      <c r="C7" s="12" t="s">
        <v>17</v>
      </c>
      <c r="D7" s="347">
        <v>975</v>
      </c>
      <c r="E7" s="347" t="s">
        <v>354</v>
      </c>
      <c r="F7" s="347" t="s">
        <v>355</v>
      </c>
      <c r="G7" s="347" t="s">
        <v>356</v>
      </c>
      <c r="H7" s="348">
        <v>1103.3</v>
      </c>
      <c r="I7" s="348">
        <v>0</v>
      </c>
      <c r="J7" s="348">
        <v>0</v>
      </c>
      <c r="K7" s="348">
        <f>479.9+800+106.1</f>
        <v>1386</v>
      </c>
      <c r="L7" s="348"/>
      <c r="M7" s="348"/>
      <c r="N7" s="349"/>
      <c r="O7" s="349"/>
      <c r="P7" s="349">
        <f>O7</f>
        <v>0</v>
      </c>
      <c r="Q7" s="348">
        <f>SUM(H7:P7)</f>
        <v>2489.3000000000002</v>
      </c>
      <c r="R7" s="350" t="s">
        <v>357</v>
      </c>
      <c r="S7" s="351"/>
    </row>
    <row r="8" spans="1:21" ht="35.1" customHeight="1" x14ac:dyDescent="0.25">
      <c r="A8" s="352" t="s">
        <v>128</v>
      </c>
      <c r="B8" s="353" t="s">
        <v>358</v>
      </c>
      <c r="C8" s="40" t="s">
        <v>17</v>
      </c>
      <c r="D8" s="354" t="s">
        <v>18</v>
      </c>
      <c r="E8" s="354" t="s">
        <v>354</v>
      </c>
      <c r="F8" s="354" t="s">
        <v>359</v>
      </c>
      <c r="G8" s="354" t="s">
        <v>267</v>
      </c>
      <c r="H8" s="348">
        <v>2319.5</v>
      </c>
      <c r="I8" s="348">
        <v>6037.2</v>
      </c>
      <c r="J8" s="348">
        <v>3775.2</v>
      </c>
      <c r="K8" s="348">
        <v>6081.4</v>
      </c>
      <c r="L8" s="348">
        <v>2601.9</v>
      </c>
      <c r="M8" s="348">
        <v>2151.5</v>
      </c>
      <c r="N8" s="349"/>
      <c r="O8" s="349"/>
      <c r="P8" s="349">
        <f t="shared" ref="P8:P30" si="0">O8</f>
        <v>0</v>
      </c>
      <c r="Q8" s="348">
        <f t="shared" ref="Q8:Q29" si="1">SUM(H8:P8)</f>
        <v>22966.700000000004</v>
      </c>
      <c r="R8" s="355" t="s">
        <v>360</v>
      </c>
    </row>
    <row r="9" spans="1:21" ht="35.1" customHeight="1" x14ac:dyDescent="0.25">
      <c r="A9" s="352"/>
      <c r="B9" s="356"/>
      <c r="C9" s="42"/>
      <c r="D9" s="354" t="s">
        <v>18</v>
      </c>
      <c r="E9" s="354" t="s">
        <v>354</v>
      </c>
      <c r="F9" s="354" t="s">
        <v>359</v>
      </c>
      <c r="G9" s="354" t="s">
        <v>269</v>
      </c>
      <c r="H9" s="348">
        <v>389.7</v>
      </c>
      <c r="I9" s="348">
        <v>590.1</v>
      </c>
      <c r="J9" s="348">
        <v>889.8</v>
      </c>
      <c r="K9" s="348">
        <f>407.7+80.2+100+235.4</f>
        <v>823.3</v>
      </c>
      <c r="L9" s="348">
        <v>1366.1</v>
      </c>
      <c r="M9" s="348">
        <v>687.2</v>
      </c>
      <c r="N9" s="349"/>
      <c r="O9" s="349"/>
      <c r="P9" s="349">
        <f t="shared" si="0"/>
        <v>0</v>
      </c>
      <c r="Q9" s="348">
        <f t="shared" si="1"/>
        <v>4746.2</v>
      </c>
      <c r="R9" s="357"/>
    </row>
    <row r="10" spans="1:21" ht="35.1" customHeight="1" x14ac:dyDescent="0.25">
      <c r="A10" s="352"/>
      <c r="B10" s="356"/>
      <c r="C10" s="42"/>
      <c r="D10" s="354" t="s">
        <v>18</v>
      </c>
      <c r="E10" s="354" t="s">
        <v>354</v>
      </c>
      <c r="F10" s="354" t="s">
        <v>359</v>
      </c>
      <c r="G10" s="354" t="s">
        <v>298</v>
      </c>
      <c r="H10" s="348"/>
      <c r="I10" s="348"/>
      <c r="J10" s="348"/>
      <c r="K10" s="348"/>
      <c r="L10" s="348">
        <v>612.20000000000005</v>
      </c>
      <c r="M10" s="348"/>
      <c r="N10" s="349"/>
      <c r="O10" s="349"/>
      <c r="P10" s="349">
        <f t="shared" si="0"/>
        <v>0</v>
      </c>
      <c r="Q10" s="348">
        <f t="shared" si="1"/>
        <v>612.20000000000005</v>
      </c>
      <c r="R10" s="357"/>
    </row>
    <row r="11" spans="1:21" ht="35.1" customHeight="1" x14ac:dyDescent="0.25">
      <c r="A11" s="352"/>
      <c r="B11" s="356"/>
      <c r="C11" s="42"/>
      <c r="D11" s="354" t="s">
        <v>18</v>
      </c>
      <c r="E11" s="354" t="s">
        <v>354</v>
      </c>
      <c r="F11" s="354" t="s">
        <v>361</v>
      </c>
      <c r="G11" s="354" t="s">
        <v>267</v>
      </c>
      <c r="H11" s="348">
        <v>0</v>
      </c>
      <c r="I11" s="348">
        <v>0</v>
      </c>
      <c r="J11" s="348">
        <v>531.20000000000005</v>
      </c>
      <c r="K11" s="348">
        <v>959.7</v>
      </c>
      <c r="L11" s="348">
        <v>486.3</v>
      </c>
      <c r="M11" s="348">
        <v>828.9</v>
      </c>
      <c r="N11" s="349">
        <v>598.5</v>
      </c>
      <c r="O11" s="349">
        <v>839</v>
      </c>
      <c r="P11" s="349">
        <v>1024</v>
      </c>
      <c r="Q11" s="348">
        <f t="shared" si="1"/>
        <v>5267.6</v>
      </c>
      <c r="R11" s="357"/>
    </row>
    <row r="12" spans="1:21" ht="35.1" customHeight="1" x14ac:dyDescent="0.25">
      <c r="A12" s="352"/>
      <c r="B12" s="356"/>
      <c r="C12" s="42"/>
      <c r="D12" s="354" t="s">
        <v>18</v>
      </c>
      <c r="E12" s="354" t="s">
        <v>354</v>
      </c>
      <c r="F12" s="354" t="s">
        <v>361</v>
      </c>
      <c r="G12" s="354" t="s">
        <v>269</v>
      </c>
      <c r="H12" s="348">
        <v>0</v>
      </c>
      <c r="I12" s="348">
        <v>0</v>
      </c>
      <c r="J12" s="348">
        <v>278.7</v>
      </c>
      <c r="K12" s="348">
        <v>0</v>
      </c>
      <c r="L12" s="348">
        <v>423</v>
      </c>
      <c r="M12" s="348">
        <v>94</v>
      </c>
      <c r="N12" s="349">
        <v>511.5</v>
      </c>
      <c r="O12" s="349">
        <v>456</v>
      </c>
      <c r="P12" s="349">
        <v>456</v>
      </c>
      <c r="Q12" s="348">
        <f t="shared" si="1"/>
        <v>2219.1999999999998</v>
      </c>
      <c r="R12" s="357"/>
    </row>
    <row r="13" spans="1:21" ht="35.1" customHeight="1" x14ac:dyDescent="0.25">
      <c r="A13" s="352"/>
      <c r="B13" s="356"/>
      <c r="C13" s="42"/>
      <c r="D13" s="354" t="s">
        <v>18</v>
      </c>
      <c r="E13" s="354" t="s">
        <v>354</v>
      </c>
      <c r="F13" s="354" t="s">
        <v>362</v>
      </c>
      <c r="G13" s="354" t="s">
        <v>267</v>
      </c>
      <c r="H13" s="348">
        <v>0</v>
      </c>
      <c r="I13" s="348">
        <v>0</v>
      </c>
      <c r="J13" s="348">
        <v>106.2</v>
      </c>
      <c r="K13" s="348">
        <v>48</v>
      </c>
      <c r="L13" s="348"/>
      <c r="M13" s="348"/>
      <c r="N13" s="349">
        <v>55.5</v>
      </c>
      <c r="O13" s="349"/>
      <c r="P13" s="349">
        <f t="shared" si="0"/>
        <v>0</v>
      </c>
      <c r="Q13" s="348">
        <f t="shared" si="1"/>
        <v>209.7</v>
      </c>
      <c r="R13" s="357"/>
    </row>
    <row r="14" spans="1:21" ht="35.1" customHeight="1" x14ac:dyDescent="0.25">
      <c r="A14" s="352"/>
      <c r="B14" s="356"/>
      <c r="C14" s="42"/>
      <c r="D14" s="354" t="s">
        <v>18</v>
      </c>
      <c r="E14" s="354" t="s">
        <v>354</v>
      </c>
      <c r="F14" s="354" t="s">
        <v>362</v>
      </c>
      <c r="G14" s="354" t="s">
        <v>269</v>
      </c>
      <c r="H14" s="348">
        <v>0</v>
      </c>
      <c r="I14" s="348">
        <v>0</v>
      </c>
      <c r="J14" s="348">
        <v>55.8</v>
      </c>
      <c r="K14" s="348">
        <v>0</v>
      </c>
      <c r="L14" s="348">
        <v>46</v>
      </c>
      <c r="M14" s="348">
        <v>47.3</v>
      </c>
      <c r="N14" s="349">
        <v>0</v>
      </c>
      <c r="O14" s="349">
        <v>83.9</v>
      </c>
      <c r="P14" s="349">
        <v>109.5</v>
      </c>
      <c r="Q14" s="348">
        <f t="shared" si="1"/>
        <v>342.5</v>
      </c>
      <c r="R14" s="357"/>
    </row>
    <row r="15" spans="1:21" ht="35.1" customHeight="1" x14ac:dyDescent="0.25">
      <c r="A15" s="35"/>
      <c r="B15" s="356"/>
      <c r="C15" s="42"/>
      <c r="D15" s="354" t="s">
        <v>18</v>
      </c>
      <c r="E15" s="354" t="s">
        <v>354</v>
      </c>
      <c r="F15" s="354" t="s">
        <v>363</v>
      </c>
      <c r="G15" s="354" t="s">
        <v>267</v>
      </c>
      <c r="H15" s="348"/>
      <c r="I15" s="348"/>
      <c r="J15" s="348"/>
      <c r="K15" s="348"/>
      <c r="L15" s="348"/>
      <c r="M15" s="348">
        <f>2957.5-160</f>
        <v>2797.5</v>
      </c>
      <c r="N15" s="349"/>
      <c r="O15" s="349"/>
      <c r="P15" s="349">
        <f t="shared" si="0"/>
        <v>0</v>
      </c>
      <c r="Q15" s="348">
        <f t="shared" si="1"/>
        <v>2797.5</v>
      </c>
      <c r="R15" s="357"/>
    </row>
    <row r="16" spans="1:21" ht="35.1" customHeight="1" x14ac:dyDescent="0.25">
      <c r="A16" s="35"/>
      <c r="B16" s="356"/>
      <c r="C16" s="42"/>
      <c r="D16" s="354" t="s">
        <v>18</v>
      </c>
      <c r="E16" s="354" t="s">
        <v>354</v>
      </c>
      <c r="F16" s="354" t="s">
        <v>363</v>
      </c>
      <c r="G16" s="354" t="s">
        <v>267</v>
      </c>
      <c r="H16" s="348"/>
      <c r="I16" s="348"/>
      <c r="J16" s="348"/>
      <c r="K16" s="348"/>
      <c r="L16" s="348"/>
      <c r="M16" s="348">
        <v>160</v>
      </c>
      <c r="N16" s="349"/>
      <c r="O16" s="349"/>
      <c r="P16" s="349">
        <f t="shared" si="0"/>
        <v>0</v>
      </c>
      <c r="Q16" s="348">
        <f t="shared" si="1"/>
        <v>160</v>
      </c>
      <c r="R16" s="357"/>
    </row>
    <row r="17" spans="1:18" ht="35.1" customHeight="1" x14ac:dyDescent="0.25">
      <c r="A17" s="35"/>
      <c r="B17" s="356"/>
      <c r="C17" s="42"/>
      <c r="D17" s="354" t="s">
        <v>18</v>
      </c>
      <c r="E17" s="354" t="s">
        <v>354</v>
      </c>
      <c r="F17" s="354" t="s">
        <v>364</v>
      </c>
      <c r="G17" s="354" t="s">
        <v>365</v>
      </c>
      <c r="H17" s="348"/>
      <c r="I17" s="348"/>
      <c r="J17" s="348"/>
      <c r="K17" s="348"/>
      <c r="L17" s="348">
        <v>4549.5</v>
      </c>
      <c r="M17" s="348">
        <v>3564.6</v>
      </c>
      <c r="N17" s="349"/>
      <c r="O17" s="349"/>
      <c r="P17" s="349">
        <f t="shared" si="0"/>
        <v>0</v>
      </c>
      <c r="Q17" s="348">
        <f t="shared" si="1"/>
        <v>8114.1</v>
      </c>
      <c r="R17" s="357"/>
    </row>
    <row r="18" spans="1:18" ht="35.1" customHeight="1" x14ac:dyDescent="0.25">
      <c r="A18" s="35"/>
      <c r="B18" s="356"/>
      <c r="C18" s="42"/>
      <c r="D18" s="354" t="s">
        <v>18</v>
      </c>
      <c r="E18" s="354" t="s">
        <v>354</v>
      </c>
      <c r="F18" s="354" t="s">
        <v>366</v>
      </c>
      <c r="G18" s="354" t="s">
        <v>365</v>
      </c>
      <c r="H18" s="348"/>
      <c r="I18" s="348"/>
      <c r="J18" s="348"/>
      <c r="K18" s="348"/>
      <c r="L18" s="348">
        <v>505.5</v>
      </c>
      <c r="M18" s="348">
        <v>39.799999999999997</v>
      </c>
      <c r="N18" s="349"/>
      <c r="O18" s="349"/>
      <c r="P18" s="349">
        <f t="shared" si="0"/>
        <v>0</v>
      </c>
      <c r="Q18" s="348">
        <f t="shared" si="1"/>
        <v>545.29999999999995</v>
      </c>
      <c r="R18" s="357"/>
    </row>
    <row r="19" spans="1:18" ht="35.1" customHeight="1" x14ac:dyDescent="0.25">
      <c r="A19" s="35"/>
      <c r="B19" s="358"/>
      <c r="C19" s="75"/>
      <c r="D19" s="354"/>
      <c r="E19" s="354" t="s">
        <v>354</v>
      </c>
      <c r="F19" s="354" t="s">
        <v>367</v>
      </c>
      <c r="G19" s="359">
        <v>240</v>
      </c>
      <c r="H19" s="348"/>
      <c r="I19" s="348"/>
      <c r="J19" s="348"/>
      <c r="K19" s="348"/>
      <c r="L19" s="348"/>
      <c r="M19" s="348">
        <v>7000</v>
      </c>
      <c r="N19" s="349"/>
      <c r="O19" s="349"/>
      <c r="P19" s="349">
        <f t="shared" si="0"/>
        <v>0</v>
      </c>
      <c r="Q19" s="348">
        <f t="shared" si="1"/>
        <v>7000</v>
      </c>
      <c r="R19" s="360"/>
    </row>
    <row r="20" spans="1:18" ht="35.1" customHeight="1" x14ac:dyDescent="0.25">
      <c r="A20" s="352" t="s">
        <v>130</v>
      </c>
      <c r="B20" s="361" t="s">
        <v>368</v>
      </c>
      <c r="C20" s="50" t="s">
        <v>17</v>
      </c>
      <c r="D20" s="354" t="s">
        <v>18</v>
      </c>
      <c r="E20" s="354" t="s">
        <v>369</v>
      </c>
      <c r="F20" s="354" t="s">
        <v>370</v>
      </c>
      <c r="G20" s="354" t="s">
        <v>267</v>
      </c>
      <c r="H20" s="348">
        <v>5267.9</v>
      </c>
      <c r="I20" s="348">
        <v>4744.6000000000004</v>
      </c>
      <c r="J20" s="348">
        <v>5833</v>
      </c>
      <c r="K20" s="348">
        <v>6378.5</v>
      </c>
      <c r="L20" s="348">
        <v>8215.2000000000007</v>
      </c>
      <c r="M20" s="348">
        <v>7991.1</v>
      </c>
      <c r="N20" s="349">
        <v>8211.7999999999993</v>
      </c>
      <c r="O20" s="349">
        <v>9337.5</v>
      </c>
      <c r="P20" s="349">
        <v>9337.5</v>
      </c>
      <c r="Q20" s="348">
        <f t="shared" si="1"/>
        <v>65317.100000000006</v>
      </c>
      <c r="R20" s="33" t="s">
        <v>371</v>
      </c>
    </row>
    <row r="21" spans="1:18" ht="35.1" customHeight="1" x14ac:dyDescent="0.25">
      <c r="A21" s="352"/>
      <c r="B21" s="361"/>
      <c r="C21" s="50"/>
      <c r="D21" s="354" t="s">
        <v>18</v>
      </c>
      <c r="E21" s="354" t="s">
        <v>369</v>
      </c>
      <c r="F21" s="354" t="s">
        <v>370</v>
      </c>
      <c r="G21" s="354" t="s">
        <v>269</v>
      </c>
      <c r="H21" s="348">
        <v>1080.8</v>
      </c>
      <c r="I21" s="348">
        <v>1020.8</v>
      </c>
      <c r="J21" s="348">
        <v>1237.7</v>
      </c>
      <c r="K21" s="348">
        <v>1529.5</v>
      </c>
      <c r="L21" s="348">
        <v>1757.5</v>
      </c>
      <c r="M21" s="348">
        <v>1484.6</v>
      </c>
      <c r="N21" s="349">
        <v>1341.2</v>
      </c>
      <c r="O21" s="349">
        <v>1524.6</v>
      </c>
      <c r="P21" s="349">
        <v>1524.6</v>
      </c>
      <c r="Q21" s="348">
        <f t="shared" si="1"/>
        <v>12501.300000000001</v>
      </c>
      <c r="R21" s="33"/>
    </row>
    <row r="22" spans="1:18" ht="35.1" customHeight="1" x14ac:dyDescent="0.25">
      <c r="A22" s="352"/>
      <c r="B22" s="361"/>
      <c r="C22" s="50"/>
      <c r="D22" s="30">
        <v>975</v>
      </c>
      <c r="E22" s="354" t="s">
        <v>372</v>
      </c>
      <c r="F22" s="354" t="s">
        <v>373</v>
      </c>
      <c r="G22" s="359">
        <v>612</v>
      </c>
      <c r="H22" s="348"/>
      <c r="I22" s="348"/>
      <c r="J22" s="348"/>
      <c r="K22" s="348"/>
      <c r="L22" s="348"/>
      <c r="M22" s="348"/>
      <c r="N22" s="349">
        <v>2024</v>
      </c>
      <c r="O22" s="349"/>
      <c r="P22" s="349"/>
      <c r="Q22" s="348"/>
      <c r="R22" s="33"/>
    </row>
    <row r="23" spans="1:18" ht="35.1" customHeight="1" x14ac:dyDescent="0.25">
      <c r="A23" s="352"/>
      <c r="B23" s="361"/>
      <c r="C23" s="50"/>
      <c r="D23" s="30">
        <v>975</v>
      </c>
      <c r="E23" s="354" t="s">
        <v>372</v>
      </c>
      <c r="F23" s="354" t="s">
        <v>373</v>
      </c>
      <c r="G23" s="359">
        <v>622</v>
      </c>
      <c r="H23" s="348"/>
      <c r="I23" s="348"/>
      <c r="J23" s="348"/>
      <c r="K23" s="348"/>
      <c r="L23" s="348"/>
      <c r="M23" s="348"/>
      <c r="N23" s="349">
        <v>594.20000000000005</v>
      </c>
      <c r="O23" s="349"/>
      <c r="P23" s="349"/>
      <c r="Q23" s="348"/>
      <c r="R23" s="33"/>
    </row>
    <row r="24" spans="1:18" ht="35.1" customHeight="1" x14ac:dyDescent="0.25">
      <c r="A24" s="352"/>
      <c r="B24" s="361"/>
      <c r="C24" s="50"/>
      <c r="D24" s="354" t="s">
        <v>18</v>
      </c>
      <c r="E24" s="354" t="s">
        <v>369</v>
      </c>
      <c r="F24" s="354" t="s">
        <v>374</v>
      </c>
      <c r="G24" s="354" t="s">
        <v>267</v>
      </c>
      <c r="H24" s="348">
        <v>0</v>
      </c>
      <c r="I24" s="348">
        <v>0</v>
      </c>
      <c r="J24" s="348">
        <v>187.8</v>
      </c>
      <c r="K24" s="348">
        <v>0</v>
      </c>
      <c r="L24" s="348">
        <v>0</v>
      </c>
      <c r="M24" s="348">
        <v>0</v>
      </c>
      <c r="N24" s="349">
        <v>0</v>
      </c>
      <c r="O24" s="349">
        <v>0</v>
      </c>
      <c r="P24" s="349">
        <f t="shared" si="0"/>
        <v>0</v>
      </c>
      <c r="Q24" s="348">
        <f t="shared" si="1"/>
        <v>187.8</v>
      </c>
      <c r="R24" s="33"/>
    </row>
    <row r="25" spans="1:18" ht="35.1" customHeight="1" x14ac:dyDescent="0.25">
      <c r="A25" s="352"/>
      <c r="B25" s="361"/>
      <c r="C25" s="50"/>
      <c r="D25" s="354" t="s">
        <v>18</v>
      </c>
      <c r="E25" s="354" t="s">
        <v>369</v>
      </c>
      <c r="F25" s="354" t="s">
        <v>374</v>
      </c>
      <c r="G25" s="354" t="s">
        <v>269</v>
      </c>
      <c r="H25" s="348">
        <v>0</v>
      </c>
      <c r="I25" s="348">
        <v>0</v>
      </c>
      <c r="J25" s="348">
        <v>101.5</v>
      </c>
      <c r="K25" s="348">
        <v>0</v>
      </c>
      <c r="L25" s="348">
        <v>0</v>
      </c>
      <c r="M25" s="348">
        <v>0</v>
      </c>
      <c r="N25" s="349">
        <v>0</v>
      </c>
      <c r="O25" s="349">
        <v>0</v>
      </c>
      <c r="P25" s="349">
        <f t="shared" si="0"/>
        <v>0</v>
      </c>
      <c r="Q25" s="348">
        <f t="shared" si="1"/>
        <v>101.5</v>
      </c>
      <c r="R25" s="33"/>
    </row>
    <row r="26" spans="1:18" s="81" customFormat="1" ht="62.25" customHeight="1" x14ac:dyDescent="0.25">
      <c r="A26" s="362" t="s">
        <v>133</v>
      </c>
      <c r="B26" s="363" t="s">
        <v>375</v>
      </c>
      <c r="C26" s="30" t="s">
        <v>17</v>
      </c>
      <c r="D26" s="354" t="s">
        <v>18</v>
      </c>
      <c r="E26" s="354" t="s">
        <v>354</v>
      </c>
      <c r="F26" s="354" t="s">
        <v>376</v>
      </c>
      <c r="G26" s="354" t="s">
        <v>267</v>
      </c>
      <c r="H26" s="348"/>
      <c r="I26" s="348">
        <v>694</v>
      </c>
      <c r="J26" s="348"/>
      <c r="K26" s="348"/>
      <c r="L26" s="348"/>
      <c r="M26" s="348"/>
      <c r="N26" s="349"/>
      <c r="O26" s="349"/>
      <c r="P26" s="349">
        <f t="shared" si="0"/>
        <v>0</v>
      </c>
      <c r="Q26" s="348">
        <f t="shared" si="1"/>
        <v>694</v>
      </c>
      <c r="R26" s="364"/>
    </row>
    <row r="27" spans="1:18" s="81" customFormat="1" ht="63.75" customHeight="1" x14ac:dyDescent="0.25">
      <c r="A27" s="362" t="s">
        <v>135</v>
      </c>
      <c r="B27" s="363" t="s">
        <v>377</v>
      </c>
      <c r="C27" s="30" t="s">
        <v>17</v>
      </c>
      <c r="D27" s="354" t="s">
        <v>18</v>
      </c>
      <c r="E27" s="354" t="s">
        <v>354</v>
      </c>
      <c r="F27" s="354" t="s">
        <v>378</v>
      </c>
      <c r="G27" s="354" t="s">
        <v>267</v>
      </c>
      <c r="H27" s="348">
        <v>0</v>
      </c>
      <c r="I27" s="348">
        <v>7.3</v>
      </c>
      <c r="J27" s="348"/>
      <c r="K27" s="348"/>
      <c r="L27" s="348"/>
      <c r="M27" s="348"/>
      <c r="N27" s="349"/>
      <c r="O27" s="349"/>
      <c r="P27" s="349">
        <f t="shared" si="0"/>
        <v>0</v>
      </c>
      <c r="Q27" s="348">
        <f t="shared" si="1"/>
        <v>7.3</v>
      </c>
      <c r="R27" s="364"/>
    </row>
    <row r="28" spans="1:18" ht="46.5" customHeight="1" x14ac:dyDescent="0.25">
      <c r="A28" s="362" t="s">
        <v>379</v>
      </c>
      <c r="B28" s="363" t="s">
        <v>380</v>
      </c>
      <c r="C28" s="30" t="s">
        <v>17</v>
      </c>
      <c r="D28" s="354" t="s">
        <v>18</v>
      </c>
      <c r="E28" s="354" t="s">
        <v>354</v>
      </c>
      <c r="F28" s="354" t="s">
        <v>381</v>
      </c>
      <c r="G28" s="354" t="s">
        <v>382</v>
      </c>
      <c r="H28" s="348"/>
      <c r="I28" s="348"/>
      <c r="J28" s="348">
        <v>6.8</v>
      </c>
      <c r="K28" s="348">
        <f>6.8+86.4</f>
        <v>93.2</v>
      </c>
      <c r="L28" s="348">
        <f>46.4+46.8</f>
        <v>93.199999999999989</v>
      </c>
      <c r="M28" s="348">
        <v>7.9</v>
      </c>
      <c r="N28" s="349"/>
      <c r="O28" s="349"/>
      <c r="P28" s="349">
        <f t="shared" si="0"/>
        <v>0</v>
      </c>
      <c r="Q28" s="348">
        <f t="shared" si="1"/>
        <v>201.1</v>
      </c>
      <c r="R28" s="33" t="s">
        <v>383</v>
      </c>
    </row>
    <row r="29" spans="1:18" ht="35.1" customHeight="1" x14ac:dyDescent="0.25">
      <c r="A29" s="352" t="s">
        <v>384</v>
      </c>
      <c r="B29" s="361" t="s">
        <v>385</v>
      </c>
      <c r="C29" s="33" t="s">
        <v>17</v>
      </c>
      <c r="D29" s="354" t="s">
        <v>18</v>
      </c>
      <c r="E29" s="354" t="s">
        <v>354</v>
      </c>
      <c r="F29" s="354" t="s">
        <v>381</v>
      </c>
      <c r="G29" s="354" t="s">
        <v>382</v>
      </c>
      <c r="H29" s="348"/>
      <c r="I29" s="348"/>
      <c r="J29" s="348">
        <v>16.7</v>
      </c>
      <c r="K29" s="348">
        <f>10.1+2</f>
        <v>12.1</v>
      </c>
      <c r="L29" s="348">
        <v>10.5</v>
      </c>
      <c r="M29" s="348">
        <v>1.9</v>
      </c>
      <c r="N29" s="349"/>
      <c r="O29" s="349"/>
      <c r="P29" s="349">
        <f t="shared" si="0"/>
        <v>0</v>
      </c>
      <c r="Q29" s="348">
        <f t="shared" si="1"/>
        <v>41.199999999999996</v>
      </c>
      <c r="R29" s="33"/>
    </row>
    <row r="30" spans="1:18" ht="35.1" customHeight="1" x14ac:dyDescent="0.25">
      <c r="A30" s="352"/>
      <c r="B30" s="361"/>
      <c r="C30" s="33"/>
      <c r="D30" s="354" t="s">
        <v>18</v>
      </c>
      <c r="E30" s="354" t="s">
        <v>354</v>
      </c>
      <c r="F30" s="354" t="s">
        <v>386</v>
      </c>
      <c r="G30" s="354" t="s">
        <v>269</v>
      </c>
      <c r="H30" s="348"/>
      <c r="I30" s="348"/>
      <c r="J30" s="348">
        <v>7.2</v>
      </c>
      <c r="K30" s="348"/>
      <c r="L30" s="348"/>
      <c r="M30" s="348"/>
      <c r="N30" s="349"/>
      <c r="O30" s="349"/>
      <c r="P30" s="349">
        <f t="shared" si="0"/>
        <v>0</v>
      </c>
      <c r="Q30" s="348">
        <f t="shared" ref="Q30:Q42" si="2">SUM(H30:P30)</f>
        <v>7.2</v>
      </c>
      <c r="R30" s="33"/>
    </row>
    <row r="31" spans="1:18" ht="35.1" customHeight="1" x14ac:dyDescent="0.25">
      <c r="A31" s="352" t="s">
        <v>387</v>
      </c>
      <c r="B31" s="40" t="s">
        <v>388</v>
      </c>
      <c r="C31" s="33" t="s">
        <v>17</v>
      </c>
      <c r="D31" s="354" t="s">
        <v>18</v>
      </c>
      <c r="E31" s="354" t="s">
        <v>354</v>
      </c>
      <c r="F31" s="354" t="s">
        <v>389</v>
      </c>
      <c r="G31" s="354" t="s">
        <v>267</v>
      </c>
      <c r="H31" s="348"/>
      <c r="I31" s="348"/>
      <c r="J31" s="348"/>
      <c r="K31" s="348"/>
      <c r="L31" s="348"/>
      <c r="M31" s="348"/>
      <c r="N31" s="349">
        <v>0</v>
      </c>
      <c r="O31" s="349">
        <v>1930.9</v>
      </c>
      <c r="P31" s="349">
        <v>1896.5</v>
      </c>
      <c r="Q31" s="348">
        <f t="shared" si="2"/>
        <v>3827.4</v>
      </c>
      <c r="R31" s="40"/>
    </row>
    <row r="32" spans="1:18" ht="35.1" customHeight="1" x14ac:dyDescent="0.25">
      <c r="A32" s="352"/>
      <c r="B32" s="75"/>
      <c r="C32" s="33"/>
      <c r="D32" s="354" t="s">
        <v>18</v>
      </c>
      <c r="E32" s="354" t="s">
        <v>354</v>
      </c>
      <c r="F32" s="354" t="s">
        <v>389</v>
      </c>
      <c r="G32" s="354" t="s">
        <v>269</v>
      </c>
      <c r="H32" s="348"/>
      <c r="I32" s="348"/>
      <c r="J32" s="348"/>
      <c r="K32" s="348"/>
      <c r="L32" s="348"/>
      <c r="M32" s="348"/>
      <c r="N32" s="349"/>
      <c r="O32" s="349">
        <v>1930.7</v>
      </c>
      <c r="P32" s="349">
        <v>0</v>
      </c>
      <c r="Q32" s="348">
        <f t="shared" si="2"/>
        <v>1930.7</v>
      </c>
      <c r="R32" s="75"/>
    </row>
    <row r="33" spans="1:18" ht="35.1" customHeight="1" x14ac:dyDescent="0.25">
      <c r="A33" s="352" t="s">
        <v>390</v>
      </c>
      <c r="B33" s="40" t="s">
        <v>391</v>
      </c>
      <c r="C33" s="33" t="s">
        <v>17</v>
      </c>
      <c r="D33" s="354" t="s">
        <v>18</v>
      </c>
      <c r="E33" s="354" t="s">
        <v>354</v>
      </c>
      <c r="F33" s="354" t="s">
        <v>389</v>
      </c>
      <c r="G33" s="354" t="s">
        <v>267</v>
      </c>
      <c r="H33" s="348"/>
      <c r="I33" s="348"/>
      <c r="J33" s="348"/>
      <c r="K33" s="348"/>
      <c r="L33" s="348"/>
      <c r="M33" s="348"/>
      <c r="N33" s="349"/>
      <c r="O33" s="349">
        <v>39.5</v>
      </c>
      <c r="P33" s="349">
        <v>38.799999999999997</v>
      </c>
      <c r="Q33" s="348">
        <f t="shared" si="2"/>
        <v>78.3</v>
      </c>
    </row>
    <row r="34" spans="1:18" ht="35.1" customHeight="1" x14ac:dyDescent="0.25">
      <c r="A34" s="352"/>
      <c r="B34" s="75"/>
      <c r="C34" s="33"/>
      <c r="D34" s="354" t="s">
        <v>18</v>
      </c>
      <c r="E34" s="354" t="s">
        <v>354</v>
      </c>
      <c r="F34" s="354" t="s">
        <v>389</v>
      </c>
      <c r="G34" s="354" t="s">
        <v>269</v>
      </c>
      <c r="H34" s="348"/>
      <c r="I34" s="348"/>
      <c r="J34" s="348"/>
      <c r="K34" s="348"/>
      <c r="L34" s="348"/>
      <c r="M34" s="348"/>
      <c r="N34" s="349"/>
      <c r="O34" s="349">
        <v>39.5</v>
      </c>
      <c r="P34" s="349">
        <v>0</v>
      </c>
      <c r="Q34" s="348">
        <f t="shared" si="2"/>
        <v>39.5</v>
      </c>
    </row>
    <row r="35" spans="1:18" ht="35.1" customHeight="1" x14ac:dyDescent="0.25">
      <c r="A35" s="352" t="s">
        <v>392</v>
      </c>
      <c r="B35" s="41" t="s">
        <v>393</v>
      </c>
      <c r="C35" s="33" t="s">
        <v>17</v>
      </c>
      <c r="D35" s="354" t="s">
        <v>18</v>
      </c>
      <c r="E35" s="354" t="s">
        <v>354</v>
      </c>
      <c r="F35" s="354" t="s">
        <v>394</v>
      </c>
      <c r="G35" s="354" t="s">
        <v>267</v>
      </c>
      <c r="H35" s="348"/>
      <c r="I35" s="348"/>
      <c r="J35" s="348"/>
      <c r="K35" s="348"/>
      <c r="L35" s="348"/>
      <c r="M35" s="348"/>
      <c r="N35" s="349">
        <v>1800</v>
      </c>
      <c r="O35" s="349">
        <v>977.1</v>
      </c>
      <c r="P35" s="349">
        <v>0</v>
      </c>
      <c r="Q35" s="348">
        <f t="shared" si="2"/>
        <v>2777.1</v>
      </c>
      <c r="R35" s="40"/>
    </row>
    <row r="36" spans="1:18" ht="35.1" customHeight="1" x14ac:dyDescent="0.25">
      <c r="A36" s="352"/>
      <c r="B36" s="44"/>
      <c r="C36" s="33"/>
      <c r="D36" s="354" t="s">
        <v>18</v>
      </c>
      <c r="E36" s="354" t="s">
        <v>354</v>
      </c>
      <c r="F36" s="354" t="s">
        <v>394</v>
      </c>
      <c r="G36" s="354" t="s">
        <v>269</v>
      </c>
      <c r="H36" s="348"/>
      <c r="I36" s="348"/>
      <c r="J36" s="348"/>
      <c r="K36" s="348"/>
      <c r="L36" s="348"/>
      <c r="M36" s="348"/>
      <c r="N36" s="349">
        <v>0</v>
      </c>
      <c r="O36" s="349">
        <v>0</v>
      </c>
      <c r="P36" s="349">
        <v>1017.9</v>
      </c>
      <c r="Q36" s="348">
        <f t="shared" si="2"/>
        <v>1017.9</v>
      </c>
      <c r="R36" s="75"/>
    </row>
    <row r="37" spans="1:18" ht="35.1" customHeight="1" x14ac:dyDescent="0.25">
      <c r="A37" s="352" t="s">
        <v>395</v>
      </c>
      <c r="B37" s="41" t="s">
        <v>396</v>
      </c>
      <c r="C37" s="33" t="s">
        <v>17</v>
      </c>
      <c r="D37" s="354" t="s">
        <v>18</v>
      </c>
      <c r="E37" s="354" t="s">
        <v>354</v>
      </c>
      <c r="F37" s="354" t="s">
        <v>397</v>
      </c>
      <c r="G37" s="354" t="s">
        <v>267</v>
      </c>
      <c r="H37" s="348"/>
      <c r="I37" s="348"/>
      <c r="J37" s="348"/>
      <c r="K37" s="348"/>
      <c r="L37" s="348"/>
      <c r="M37" s="348"/>
      <c r="N37" s="349">
        <v>90</v>
      </c>
      <c r="O37" s="349">
        <v>20</v>
      </c>
      <c r="P37" s="349">
        <v>0</v>
      </c>
      <c r="Q37" s="348">
        <f t="shared" si="2"/>
        <v>110</v>
      </c>
    </row>
    <row r="38" spans="1:18" ht="35.1" customHeight="1" x14ac:dyDescent="0.25">
      <c r="A38" s="352"/>
      <c r="B38" s="44"/>
      <c r="C38" s="33"/>
      <c r="D38" s="354" t="s">
        <v>18</v>
      </c>
      <c r="E38" s="354" t="s">
        <v>354</v>
      </c>
      <c r="F38" s="354" t="s">
        <v>394</v>
      </c>
      <c r="G38" s="354" t="s">
        <v>269</v>
      </c>
      <c r="H38" s="348"/>
      <c r="I38" s="348"/>
      <c r="J38" s="348"/>
      <c r="K38" s="348"/>
      <c r="L38" s="348"/>
      <c r="M38" s="348"/>
      <c r="N38" s="349">
        <v>0</v>
      </c>
      <c r="O38" s="349">
        <v>0</v>
      </c>
      <c r="P38" s="349">
        <v>20.8</v>
      </c>
      <c r="Q38" s="348">
        <f t="shared" si="2"/>
        <v>20.8</v>
      </c>
    </row>
    <row r="39" spans="1:18" ht="73.900000000000006" customHeight="1" x14ac:dyDescent="0.25">
      <c r="A39" s="352" t="s">
        <v>398</v>
      </c>
      <c r="B39" s="365" t="s">
        <v>393</v>
      </c>
      <c r="C39" s="33" t="s">
        <v>17</v>
      </c>
      <c r="D39" s="354" t="s">
        <v>18</v>
      </c>
      <c r="E39" s="354" t="s">
        <v>354</v>
      </c>
      <c r="F39" s="354" t="s">
        <v>399</v>
      </c>
      <c r="G39" s="354" t="s">
        <v>298</v>
      </c>
      <c r="H39" s="348"/>
      <c r="I39" s="348"/>
      <c r="J39" s="348"/>
      <c r="K39" s="348"/>
      <c r="L39" s="348"/>
      <c r="M39" s="348"/>
      <c r="N39" s="349">
        <f>2866.8-57.4</f>
        <v>2809.4</v>
      </c>
      <c r="O39" s="349">
        <v>0</v>
      </c>
      <c r="P39" s="349">
        <v>0</v>
      </c>
      <c r="Q39" s="348">
        <f t="shared" si="2"/>
        <v>2809.4</v>
      </c>
    </row>
    <row r="40" spans="1:18" ht="78.599999999999994" customHeight="1" x14ac:dyDescent="0.25">
      <c r="A40" s="352"/>
      <c r="B40" s="292" t="s">
        <v>396</v>
      </c>
      <c r="C40" s="33"/>
      <c r="D40" s="354" t="s">
        <v>18</v>
      </c>
      <c r="E40" s="354" t="s">
        <v>354</v>
      </c>
      <c r="F40" s="354" t="s">
        <v>399</v>
      </c>
      <c r="G40" s="354" t="s">
        <v>298</v>
      </c>
      <c r="H40" s="348"/>
      <c r="I40" s="348"/>
      <c r="J40" s="348"/>
      <c r="K40" s="348"/>
      <c r="L40" s="348"/>
      <c r="M40" s="348"/>
      <c r="N40" s="349">
        <v>57.4</v>
      </c>
      <c r="O40" s="349">
        <v>0</v>
      </c>
      <c r="P40" s="349">
        <v>0</v>
      </c>
      <c r="Q40" s="348">
        <f t="shared" si="2"/>
        <v>57.4</v>
      </c>
    </row>
    <row r="41" spans="1:18" ht="78.599999999999994" customHeight="1" x14ac:dyDescent="0.25">
      <c r="A41" s="265" t="s">
        <v>400</v>
      </c>
      <c r="B41" s="366" t="s">
        <v>401</v>
      </c>
      <c r="C41" s="292" t="s">
        <v>17</v>
      </c>
      <c r="D41" s="354" t="s">
        <v>18</v>
      </c>
      <c r="E41" s="354" t="s">
        <v>354</v>
      </c>
      <c r="F41" s="354" t="s">
        <v>402</v>
      </c>
      <c r="G41" s="354" t="s">
        <v>267</v>
      </c>
      <c r="H41" s="348"/>
      <c r="I41" s="348"/>
      <c r="J41" s="348"/>
      <c r="K41" s="348"/>
      <c r="L41" s="348"/>
      <c r="M41" s="348"/>
      <c r="N41" s="349">
        <v>2400</v>
      </c>
      <c r="O41" s="349">
        <v>0</v>
      </c>
      <c r="P41" s="349">
        <v>0</v>
      </c>
      <c r="Q41" s="348">
        <f>SUM(H41:P41)</f>
        <v>2400</v>
      </c>
    </row>
    <row r="42" spans="1:18" ht="78.599999999999994" customHeight="1" x14ac:dyDescent="0.25">
      <c r="A42" s="271"/>
      <c r="B42" s="366" t="s">
        <v>403</v>
      </c>
      <c r="C42" s="292" t="s">
        <v>17</v>
      </c>
      <c r="D42" s="354" t="s">
        <v>18</v>
      </c>
      <c r="E42" s="354" t="s">
        <v>354</v>
      </c>
      <c r="F42" s="354" t="s">
        <v>404</v>
      </c>
      <c r="G42" s="354" t="s">
        <v>267</v>
      </c>
      <c r="H42" s="348"/>
      <c r="I42" s="348"/>
      <c r="J42" s="348"/>
      <c r="K42" s="348"/>
      <c r="L42" s="348"/>
      <c r="M42" s="348"/>
      <c r="N42" s="349">
        <v>400</v>
      </c>
      <c r="O42" s="349">
        <v>0</v>
      </c>
      <c r="P42" s="349">
        <v>0</v>
      </c>
      <c r="Q42" s="348">
        <f t="shared" si="2"/>
        <v>400</v>
      </c>
    </row>
    <row r="43" spans="1:18" ht="78.599999999999994" customHeight="1" x14ac:dyDescent="0.25">
      <c r="A43" s="367" t="s">
        <v>405</v>
      </c>
      <c r="B43" s="366" t="s">
        <v>406</v>
      </c>
      <c r="C43" s="292" t="s">
        <v>17</v>
      </c>
      <c r="D43" s="354" t="s">
        <v>18</v>
      </c>
      <c r="E43" s="354" t="s">
        <v>354</v>
      </c>
      <c r="F43" s="354" t="s">
        <v>364</v>
      </c>
      <c r="G43" s="354" t="s">
        <v>267</v>
      </c>
      <c r="H43" s="348"/>
      <c r="I43" s="348"/>
      <c r="J43" s="348"/>
      <c r="K43" s="348"/>
      <c r="L43" s="348"/>
      <c r="M43" s="348"/>
      <c r="N43" s="349">
        <v>1214.5</v>
      </c>
      <c r="O43" s="349">
        <v>0</v>
      </c>
      <c r="P43" s="349">
        <v>0</v>
      </c>
      <c r="Q43" s="348">
        <v>0</v>
      </c>
    </row>
    <row r="44" spans="1:18" ht="102.6" customHeight="1" x14ac:dyDescent="0.25">
      <c r="A44" s="367" t="s">
        <v>407</v>
      </c>
      <c r="B44" s="366" t="s">
        <v>408</v>
      </c>
      <c r="C44" s="292" t="s">
        <v>17</v>
      </c>
      <c r="D44" s="354" t="s">
        <v>18</v>
      </c>
      <c r="E44" s="354" t="s">
        <v>354</v>
      </c>
      <c r="F44" s="354" t="s">
        <v>366</v>
      </c>
      <c r="G44" s="354" t="s">
        <v>267</v>
      </c>
      <c r="H44" s="348"/>
      <c r="I44" s="348"/>
      <c r="J44" s="348"/>
      <c r="K44" s="348"/>
      <c r="L44" s="348"/>
      <c r="M44" s="348"/>
      <c r="N44" s="349">
        <v>134.9</v>
      </c>
      <c r="O44" s="349">
        <v>0</v>
      </c>
      <c r="P44" s="349">
        <v>0</v>
      </c>
      <c r="Q44" s="348">
        <v>0</v>
      </c>
    </row>
    <row r="45" spans="1:18" ht="102.6" customHeight="1" x14ac:dyDescent="0.25">
      <c r="A45" s="367" t="s">
        <v>409</v>
      </c>
      <c r="B45" s="366" t="s">
        <v>410</v>
      </c>
      <c r="C45" s="292" t="s">
        <v>17</v>
      </c>
      <c r="D45" s="354" t="s">
        <v>18</v>
      </c>
      <c r="E45" s="354" t="s">
        <v>354</v>
      </c>
      <c r="F45" s="354" t="s">
        <v>411</v>
      </c>
      <c r="G45" s="354" t="s">
        <v>267</v>
      </c>
      <c r="H45" s="348"/>
      <c r="I45" s="348"/>
      <c r="J45" s="348"/>
      <c r="K45" s="348"/>
      <c r="L45" s="348"/>
      <c r="M45" s="348"/>
      <c r="N45" s="349">
        <v>2294.4</v>
      </c>
      <c r="O45" s="349"/>
      <c r="P45" s="349"/>
      <c r="Q45" s="348"/>
    </row>
    <row r="46" spans="1:18" ht="35.1" customHeight="1" x14ac:dyDescent="0.25">
      <c r="A46" s="368" t="s">
        <v>320</v>
      </c>
      <c r="B46" s="368"/>
      <c r="C46" s="292"/>
      <c r="D46" s="369"/>
      <c r="E46" s="369"/>
      <c r="F46" s="369"/>
      <c r="G46" s="369"/>
      <c r="H46" s="72">
        <f t="shared" ref="H46:M46" si="3">SUM(H7:H30)</f>
        <v>10161.199999999999</v>
      </c>
      <c r="I46" s="72">
        <f t="shared" si="3"/>
        <v>13094</v>
      </c>
      <c r="J46" s="72">
        <f t="shared" si="3"/>
        <v>13027.6</v>
      </c>
      <c r="K46" s="72">
        <f t="shared" si="3"/>
        <v>17311.7</v>
      </c>
      <c r="L46" s="72">
        <f t="shared" si="3"/>
        <v>20666.900000000001</v>
      </c>
      <c r="M46" s="72">
        <f t="shared" si="3"/>
        <v>26856.300000000003</v>
      </c>
      <c r="N46" s="71">
        <f>SUM(N7:N45)</f>
        <v>24537.300000000007</v>
      </c>
      <c r="O46" s="71">
        <f>SUM(O7:O44)</f>
        <v>17178.7</v>
      </c>
      <c r="P46" s="71">
        <f>SUM(P7:P44)</f>
        <v>15425.599999999999</v>
      </c>
      <c r="Q46" s="72">
        <f>SUM(Q7:Q43)</f>
        <v>151997.29999999999</v>
      </c>
      <c r="R46" s="370"/>
    </row>
    <row r="47" spans="1:18" ht="33" customHeight="1" x14ac:dyDescent="0.25">
      <c r="A47" s="247" t="s">
        <v>330</v>
      </c>
      <c r="B47" s="247"/>
      <c r="C47" s="247"/>
      <c r="D47" s="247"/>
      <c r="E47" s="247"/>
      <c r="F47" s="247"/>
      <c r="G47" s="247"/>
      <c r="H47" s="247"/>
      <c r="I47" s="247"/>
      <c r="J47" s="247"/>
      <c r="K47" s="247"/>
      <c r="L47" s="247"/>
      <c r="M47" s="247"/>
      <c r="N47" s="247"/>
      <c r="O47" s="247"/>
      <c r="P47" s="247"/>
      <c r="Q47" s="247"/>
      <c r="R47" s="247"/>
    </row>
    <row r="48" spans="1:18" ht="35.1" customHeight="1" x14ac:dyDescent="0.25">
      <c r="A48" s="371" t="s">
        <v>138</v>
      </c>
      <c r="B48" s="361" t="s">
        <v>412</v>
      </c>
      <c r="C48" s="33"/>
      <c r="D48" s="30" t="s">
        <v>18</v>
      </c>
      <c r="E48" s="359" t="s">
        <v>354</v>
      </c>
      <c r="F48" s="354" t="s">
        <v>359</v>
      </c>
      <c r="G48" s="359">
        <v>110</v>
      </c>
      <c r="H48" s="348">
        <v>13238</v>
      </c>
      <c r="I48" s="348">
        <v>13739.9</v>
      </c>
      <c r="J48" s="348">
        <v>12713.2</v>
      </c>
      <c r="K48" s="348">
        <v>12251.6</v>
      </c>
      <c r="L48" s="348">
        <v>11621.6</v>
      </c>
      <c r="M48" s="348">
        <v>6639.3</v>
      </c>
      <c r="N48" s="349">
        <v>0</v>
      </c>
      <c r="O48" s="349">
        <v>0</v>
      </c>
      <c r="P48" s="349">
        <v>0</v>
      </c>
      <c r="Q48" s="348">
        <f>SUM(H48:P48)</f>
        <v>70203.600000000006</v>
      </c>
      <c r="R48" s="33" t="s">
        <v>413</v>
      </c>
    </row>
    <row r="49" spans="1:18" ht="35.1" customHeight="1" x14ac:dyDescent="0.25">
      <c r="A49" s="371"/>
      <c r="B49" s="361"/>
      <c r="C49" s="33"/>
      <c r="D49" s="30" t="s">
        <v>18</v>
      </c>
      <c r="E49" s="359" t="s">
        <v>354</v>
      </c>
      <c r="F49" s="354" t="s">
        <v>359</v>
      </c>
      <c r="G49" s="359">
        <v>240</v>
      </c>
      <c r="H49" s="348">
        <f>6496+150</f>
        <v>6646</v>
      </c>
      <c r="I49" s="348">
        <f>7475.8+89.9</f>
        <v>7565.7</v>
      </c>
      <c r="J49" s="348">
        <v>8087.8</v>
      </c>
      <c r="K49" s="348">
        <v>7359.7</v>
      </c>
      <c r="L49" s="348">
        <f>7456-L10</f>
        <v>6843.8</v>
      </c>
      <c r="M49" s="348">
        <v>3610.3</v>
      </c>
      <c r="N49" s="349">
        <v>0</v>
      </c>
      <c r="O49" s="349">
        <v>0</v>
      </c>
      <c r="P49" s="349">
        <v>0</v>
      </c>
      <c r="Q49" s="348">
        <f t="shared" ref="Q49:Q96" si="4">SUM(H49:P49)</f>
        <v>40113.300000000003</v>
      </c>
      <c r="R49" s="33"/>
    </row>
    <row r="50" spans="1:18" ht="35.1" customHeight="1" x14ac:dyDescent="0.25">
      <c r="A50" s="371"/>
      <c r="B50" s="361"/>
      <c r="C50" s="33"/>
      <c r="D50" s="30" t="s">
        <v>18</v>
      </c>
      <c r="E50" s="359" t="s">
        <v>354</v>
      </c>
      <c r="F50" s="354" t="s">
        <v>359</v>
      </c>
      <c r="G50" s="359">
        <v>611</v>
      </c>
      <c r="H50" s="348">
        <v>36650.199999999997</v>
      </c>
      <c r="I50" s="348">
        <v>39146.800000000003</v>
      </c>
      <c r="J50" s="348">
        <v>21385.4</v>
      </c>
      <c r="K50" s="348">
        <v>20376.5</v>
      </c>
      <c r="L50" s="348">
        <v>21744.3</v>
      </c>
      <c r="M50" s="348">
        <v>21733.1</v>
      </c>
      <c r="N50" s="349">
        <v>19591.7</v>
      </c>
      <c r="O50" s="349">
        <v>19622.900000000001</v>
      </c>
      <c r="P50" s="349">
        <v>19622.900000000001</v>
      </c>
      <c r="Q50" s="348">
        <f t="shared" si="4"/>
        <v>219873.8</v>
      </c>
      <c r="R50" s="33"/>
    </row>
    <row r="51" spans="1:18" ht="35.1" customHeight="1" x14ac:dyDescent="0.25">
      <c r="A51" s="371"/>
      <c r="B51" s="361"/>
      <c r="C51" s="33"/>
      <c r="D51" s="30">
        <v>975</v>
      </c>
      <c r="E51" s="354" t="s">
        <v>354</v>
      </c>
      <c r="F51" s="354" t="s">
        <v>359</v>
      </c>
      <c r="G51" s="359">
        <v>612</v>
      </c>
      <c r="H51" s="348">
        <v>68.5</v>
      </c>
      <c r="I51" s="348"/>
      <c r="J51" s="348">
        <v>0</v>
      </c>
      <c r="K51" s="348"/>
      <c r="L51" s="348"/>
      <c r="M51" s="348"/>
      <c r="N51" s="349"/>
      <c r="O51" s="349"/>
      <c r="P51" s="349">
        <f>O51</f>
        <v>0</v>
      </c>
      <c r="Q51" s="348">
        <f t="shared" si="4"/>
        <v>68.5</v>
      </c>
      <c r="R51" s="33"/>
    </row>
    <row r="52" spans="1:18" ht="35.1" customHeight="1" x14ac:dyDescent="0.25">
      <c r="A52" s="371"/>
      <c r="B52" s="361"/>
      <c r="C52" s="33"/>
      <c r="D52" s="30" t="s">
        <v>18</v>
      </c>
      <c r="E52" s="359" t="s">
        <v>354</v>
      </c>
      <c r="F52" s="354" t="s">
        <v>359</v>
      </c>
      <c r="G52" s="359">
        <v>621</v>
      </c>
      <c r="H52" s="348">
        <v>16861.8</v>
      </c>
      <c r="I52" s="348">
        <v>17529.8</v>
      </c>
      <c r="J52" s="348">
        <v>8899.2000000000007</v>
      </c>
      <c r="K52" s="348">
        <v>8641.4</v>
      </c>
      <c r="L52" s="348">
        <v>9217.1</v>
      </c>
      <c r="M52" s="348">
        <v>9882.6</v>
      </c>
      <c r="N52" s="349">
        <v>9100.2000000000007</v>
      </c>
      <c r="O52" s="349">
        <v>9110.9</v>
      </c>
      <c r="P52" s="349">
        <v>9110.9</v>
      </c>
      <c r="Q52" s="348">
        <f t="shared" si="4"/>
        <v>98353.9</v>
      </c>
      <c r="R52" s="33"/>
    </row>
    <row r="53" spans="1:18" ht="35.1" customHeight="1" x14ac:dyDescent="0.25">
      <c r="A53" s="371"/>
      <c r="B53" s="361"/>
      <c r="C53" s="33"/>
      <c r="D53" s="30">
        <v>975</v>
      </c>
      <c r="E53" s="354" t="s">
        <v>354</v>
      </c>
      <c r="F53" s="354" t="s">
        <v>359</v>
      </c>
      <c r="G53" s="359">
        <v>622</v>
      </c>
      <c r="H53" s="348">
        <v>150</v>
      </c>
      <c r="I53" s="348"/>
      <c r="J53" s="348"/>
      <c r="K53" s="348"/>
      <c r="L53" s="348"/>
      <c r="M53" s="348"/>
      <c r="N53" s="349"/>
      <c r="O53" s="349"/>
      <c r="P53" s="349">
        <f>O53</f>
        <v>0</v>
      </c>
      <c r="Q53" s="348">
        <f t="shared" si="4"/>
        <v>150</v>
      </c>
      <c r="R53" s="33"/>
    </row>
    <row r="54" spans="1:18" ht="35.1" customHeight="1" x14ac:dyDescent="0.25">
      <c r="A54" s="371"/>
      <c r="B54" s="361"/>
      <c r="C54" s="33"/>
      <c r="D54" s="30">
        <v>975</v>
      </c>
      <c r="E54" s="354" t="s">
        <v>354</v>
      </c>
      <c r="F54" s="354" t="s">
        <v>359</v>
      </c>
      <c r="G54" s="359">
        <v>850</v>
      </c>
      <c r="H54" s="348">
        <v>26.5</v>
      </c>
      <c r="I54" s="348">
        <v>121.1</v>
      </c>
      <c r="J54" s="348">
        <v>14.2</v>
      </c>
      <c r="K54" s="348">
        <v>12.5</v>
      </c>
      <c r="L54" s="348">
        <v>136.1</v>
      </c>
      <c r="M54" s="348">
        <v>8.9</v>
      </c>
      <c r="N54" s="349">
        <v>0</v>
      </c>
      <c r="O54" s="349">
        <v>0</v>
      </c>
      <c r="P54" s="349">
        <v>0</v>
      </c>
      <c r="Q54" s="348">
        <f t="shared" si="4"/>
        <v>319.29999999999995</v>
      </c>
      <c r="R54" s="33"/>
    </row>
    <row r="55" spans="1:18" ht="35.1" customHeight="1" x14ac:dyDescent="0.25">
      <c r="A55" s="371"/>
      <c r="B55" s="361"/>
      <c r="C55" s="33"/>
      <c r="D55" s="30" t="s">
        <v>18</v>
      </c>
      <c r="E55" s="359" t="s">
        <v>354</v>
      </c>
      <c r="F55" s="354" t="s">
        <v>414</v>
      </c>
      <c r="G55" s="359">
        <v>110</v>
      </c>
      <c r="H55" s="348">
        <v>671.1</v>
      </c>
      <c r="I55" s="348">
        <v>882.4</v>
      </c>
      <c r="J55" s="348">
        <v>1697.2</v>
      </c>
      <c r="K55" s="348">
        <f>1447.3+437.1</f>
        <v>1884.4</v>
      </c>
      <c r="L55" s="348">
        <v>2298.1</v>
      </c>
      <c r="M55" s="348">
        <v>1906.9</v>
      </c>
      <c r="N55" s="349">
        <v>0</v>
      </c>
      <c r="O55" s="349">
        <v>0</v>
      </c>
      <c r="P55" s="349">
        <v>0</v>
      </c>
      <c r="Q55" s="348">
        <f t="shared" si="4"/>
        <v>9340.1</v>
      </c>
      <c r="R55" s="33"/>
    </row>
    <row r="56" spans="1:18" ht="35.1" customHeight="1" x14ac:dyDescent="0.25">
      <c r="A56" s="371"/>
      <c r="B56" s="361"/>
      <c r="C56" s="33"/>
      <c r="D56" s="30" t="s">
        <v>18</v>
      </c>
      <c r="E56" s="359" t="s">
        <v>354</v>
      </c>
      <c r="F56" s="354" t="s">
        <v>414</v>
      </c>
      <c r="G56" s="359">
        <v>611</v>
      </c>
      <c r="H56" s="348">
        <v>1841.5</v>
      </c>
      <c r="I56" s="348">
        <v>2844</v>
      </c>
      <c r="J56" s="348">
        <v>7162.7</v>
      </c>
      <c r="K56" s="348">
        <v>5652.6</v>
      </c>
      <c r="L56" s="348">
        <v>9203</v>
      </c>
      <c r="M56" s="348">
        <v>14852.2</v>
      </c>
      <c r="N56" s="349">
        <v>12390.6</v>
      </c>
      <c r="O56" s="349">
        <v>12390.6</v>
      </c>
      <c r="P56" s="349">
        <v>12390.6</v>
      </c>
      <c r="Q56" s="348">
        <f t="shared" si="4"/>
        <v>78727.8</v>
      </c>
      <c r="R56" s="33"/>
    </row>
    <row r="57" spans="1:18" ht="35.1" customHeight="1" x14ac:dyDescent="0.25">
      <c r="A57" s="371"/>
      <c r="B57" s="361"/>
      <c r="C57" s="33"/>
      <c r="D57" s="30">
        <v>975</v>
      </c>
      <c r="E57" s="354" t="s">
        <v>354</v>
      </c>
      <c r="F57" s="354" t="s">
        <v>414</v>
      </c>
      <c r="G57" s="359">
        <v>621</v>
      </c>
      <c r="H57" s="348"/>
      <c r="I57" s="348">
        <v>34.200000000000003</v>
      </c>
      <c r="J57" s="348">
        <v>65.400000000000006</v>
      </c>
      <c r="K57" s="348">
        <v>91.9</v>
      </c>
      <c r="L57" s="348">
        <v>172.8</v>
      </c>
      <c r="M57" s="348">
        <v>155.4</v>
      </c>
      <c r="N57" s="349">
        <v>179.7</v>
      </c>
      <c r="O57" s="349">
        <v>179.7</v>
      </c>
      <c r="P57" s="349">
        <v>179.7</v>
      </c>
      <c r="Q57" s="348">
        <f t="shared" si="4"/>
        <v>1058.8000000000002</v>
      </c>
      <c r="R57" s="33"/>
    </row>
    <row r="58" spans="1:18" ht="35.1" customHeight="1" x14ac:dyDescent="0.25">
      <c r="A58" s="371"/>
      <c r="B58" s="361"/>
      <c r="C58" s="33"/>
      <c r="D58" s="30" t="s">
        <v>18</v>
      </c>
      <c r="E58" s="359" t="s">
        <v>354</v>
      </c>
      <c r="F58" s="354" t="s">
        <v>415</v>
      </c>
      <c r="G58" s="359">
        <v>611</v>
      </c>
      <c r="H58" s="348">
        <v>946.6</v>
      </c>
      <c r="I58" s="348">
        <v>1533.9</v>
      </c>
      <c r="J58" s="348"/>
      <c r="K58" s="348"/>
      <c r="L58" s="348"/>
      <c r="M58" s="348"/>
      <c r="N58" s="349"/>
      <c r="O58" s="349"/>
      <c r="P58" s="349">
        <f t="shared" ref="P58:P64" si="5">O58</f>
        <v>0</v>
      </c>
      <c r="Q58" s="348">
        <f t="shared" si="4"/>
        <v>2480.5</v>
      </c>
      <c r="R58" s="33"/>
    </row>
    <row r="59" spans="1:18" ht="35.1" customHeight="1" x14ac:dyDescent="0.25">
      <c r="A59" s="371"/>
      <c r="B59" s="361"/>
      <c r="C59" s="33"/>
      <c r="D59" s="30" t="s">
        <v>18</v>
      </c>
      <c r="E59" s="359" t="s">
        <v>354</v>
      </c>
      <c r="F59" s="354" t="s">
        <v>416</v>
      </c>
      <c r="G59" s="359">
        <v>110</v>
      </c>
      <c r="H59" s="348">
        <v>17</v>
      </c>
      <c r="I59" s="348"/>
      <c r="J59" s="348"/>
      <c r="K59" s="348"/>
      <c r="L59" s="348"/>
      <c r="M59" s="348"/>
      <c r="N59" s="349"/>
      <c r="O59" s="349"/>
      <c r="P59" s="349">
        <f t="shared" si="5"/>
        <v>0</v>
      </c>
      <c r="Q59" s="348">
        <f t="shared" si="4"/>
        <v>17</v>
      </c>
      <c r="R59" s="33"/>
    </row>
    <row r="60" spans="1:18" ht="35.1" customHeight="1" x14ac:dyDescent="0.25">
      <c r="A60" s="371"/>
      <c r="B60" s="361"/>
      <c r="C60" s="33"/>
      <c r="D60" s="30" t="s">
        <v>18</v>
      </c>
      <c r="E60" s="359" t="s">
        <v>354</v>
      </c>
      <c r="F60" s="354" t="s">
        <v>416</v>
      </c>
      <c r="G60" s="359">
        <v>611</v>
      </c>
      <c r="H60" s="348">
        <v>20.7</v>
      </c>
      <c r="I60" s="348"/>
      <c r="J60" s="348"/>
      <c r="K60" s="348"/>
      <c r="L60" s="348"/>
      <c r="M60" s="348"/>
      <c r="N60" s="349"/>
      <c r="O60" s="349"/>
      <c r="P60" s="349">
        <f t="shared" si="5"/>
        <v>0</v>
      </c>
      <c r="Q60" s="348">
        <f t="shared" si="4"/>
        <v>20.7</v>
      </c>
      <c r="R60" s="33"/>
    </row>
    <row r="61" spans="1:18" ht="35.1" hidden="1" customHeight="1" x14ac:dyDescent="0.25">
      <c r="A61" s="371"/>
      <c r="B61" s="361"/>
      <c r="C61" s="33"/>
      <c r="D61" s="30" t="s">
        <v>18</v>
      </c>
      <c r="E61" s="359" t="s">
        <v>354</v>
      </c>
      <c r="F61" s="354" t="s">
        <v>416</v>
      </c>
      <c r="G61" s="359">
        <v>621</v>
      </c>
      <c r="H61" s="348">
        <v>0</v>
      </c>
      <c r="I61" s="348"/>
      <c r="J61" s="348"/>
      <c r="K61" s="348"/>
      <c r="L61" s="348"/>
      <c r="M61" s="348"/>
      <c r="N61" s="349"/>
      <c r="O61" s="349"/>
      <c r="P61" s="349">
        <f t="shared" si="5"/>
        <v>0</v>
      </c>
      <c r="Q61" s="348">
        <f t="shared" si="4"/>
        <v>0</v>
      </c>
      <c r="R61" s="33"/>
    </row>
    <row r="62" spans="1:18" ht="35.1" hidden="1" customHeight="1" x14ac:dyDescent="0.25">
      <c r="A62" s="371"/>
      <c r="B62" s="361"/>
      <c r="C62" s="33"/>
      <c r="D62" s="30">
        <v>975</v>
      </c>
      <c r="E62" s="354" t="s">
        <v>354</v>
      </c>
      <c r="F62" s="354" t="s">
        <v>417</v>
      </c>
      <c r="G62" s="359">
        <v>611</v>
      </c>
      <c r="H62" s="348"/>
      <c r="I62" s="348"/>
      <c r="J62" s="348">
        <v>0</v>
      </c>
      <c r="K62" s="348"/>
      <c r="L62" s="348"/>
      <c r="M62" s="348"/>
      <c r="N62" s="349"/>
      <c r="O62" s="349"/>
      <c r="P62" s="349">
        <f t="shared" si="5"/>
        <v>0</v>
      </c>
      <c r="Q62" s="348">
        <f t="shared" si="4"/>
        <v>0</v>
      </c>
      <c r="R62" s="33"/>
    </row>
    <row r="63" spans="1:18" ht="35.1" customHeight="1" x14ac:dyDescent="0.25">
      <c r="A63" s="371"/>
      <c r="B63" s="361"/>
      <c r="C63" s="33"/>
      <c r="D63" s="30">
        <v>975</v>
      </c>
      <c r="E63" s="354" t="s">
        <v>354</v>
      </c>
      <c r="F63" s="354" t="s">
        <v>418</v>
      </c>
      <c r="G63" s="359">
        <v>611</v>
      </c>
      <c r="H63" s="348"/>
      <c r="I63" s="348"/>
      <c r="J63" s="348">
        <v>69.8</v>
      </c>
      <c r="K63" s="348"/>
      <c r="L63" s="348"/>
      <c r="M63" s="348"/>
      <c r="N63" s="349"/>
      <c r="O63" s="349"/>
      <c r="P63" s="349">
        <f t="shared" si="5"/>
        <v>0</v>
      </c>
      <c r="Q63" s="348">
        <f t="shared" si="4"/>
        <v>69.8</v>
      </c>
      <c r="R63" s="33"/>
    </row>
    <row r="64" spans="1:18" ht="35.1" customHeight="1" x14ac:dyDescent="0.25">
      <c r="A64" s="371"/>
      <c r="B64" s="361"/>
      <c r="C64" s="33"/>
      <c r="D64" s="30">
        <v>975</v>
      </c>
      <c r="E64" s="354" t="s">
        <v>354</v>
      </c>
      <c r="F64" s="354" t="s">
        <v>419</v>
      </c>
      <c r="G64" s="359">
        <v>611</v>
      </c>
      <c r="H64" s="348">
        <v>50.1</v>
      </c>
      <c r="I64" s="348">
        <v>30</v>
      </c>
      <c r="J64" s="348"/>
      <c r="K64" s="348"/>
      <c r="L64" s="348"/>
      <c r="M64" s="348"/>
      <c r="N64" s="349"/>
      <c r="O64" s="349"/>
      <c r="P64" s="349">
        <f t="shared" si="5"/>
        <v>0</v>
      </c>
      <c r="Q64" s="348">
        <f t="shared" si="4"/>
        <v>80.099999999999994</v>
      </c>
      <c r="R64" s="33"/>
    </row>
    <row r="65" spans="1:18" ht="35.1" customHeight="1" x14ac:dyDescent="0.25">
      <c r="A65" s="250"/>
      <c r="B65" s="363"/>
      <c r="C65" s="30"/>
      <c r="D65" s="30">
        <v>975</v>
      </c>
      <c r="E65" s="354" t="s">
        <v>372</v>
      </c>
      <c r="F65" s="354" t="s">
        <v>420</v>
      </c>
      <c r="G65" s="359">
        <v>611</v>
      </c>
      <c r="H65" s="348"/>
      <c r="I65" s="348"/>
      <c r="J65" s="348"/>
      <c r="K65" s="348"/>
      <c r="L65" s="348"/>
      <c r="M65" s="348"/>
      <c r="N65" s="349">
        <v>4166.3999999999996</v>
      </c>
      <c r="O65" s="349">
        <v>12499.2</v>
      </c>
      <c r="P65" s="349">
        <v>12499.2</v>
      </c>
      <c r="Q65" s="348">
        <f t="shared" si="4"/>
        <v>29164.799999999999</v>
      </c>
      <c r="R65" s="33"/>
    </row>
    <row r="66" spans="1:18" ht="35.1" customHeight="1" x14ac:dyDescent="0.25">
      <c r="A66" s="250"/>
      <c r="B66" s="363"/>
      <c r="C66" s="30"/>
      <c r="D66" s="30">
        <v>975</v>
      </c>
      <c r="E66" s="354" t="s">
        <v>372</v>
      </c>
      <c r="F66" s="354" t="s">
        <v>420</v>
      </c>
      <c r="G66" s="359">
        <v>621</v>
      </c>
      <c r="H66" s="348"/>
      <c r="I66" s="348"/>
      <c r="J66" s="348"/>
      <c r="K66" s="348"/>
      <c r="L66" s="348"/>
      <c r="M66" s="348"/>
      <c r="N66" s="349">
        <v>1291.5999999999999</v>
      </c>
      <c r="O66" s="349">
        <v>3874.8</v>
      </c>
      <c r="P66" s="349">
        <v>3874.8</v>
      </c>
      <c r="Q66" s="348">
        <f t="shared" si="4"/>
        <v>9041.2000000000007</v>
      </c>
      <c r="R66" s="33"/>
    </row>
    <row r="67" spans="1:18" ht="35.1" customHeight="1" x14ac:dyDescent="0.25">
      <c r="A67" s="250"/>
      <c r="B67" s="363"/>
      <c r="C67" s="30"/>
      <c r="D67" s="30">
        <v>975</v>
      </c>
      <c r="E67" s="354" t="s">
        <v>372</v>
      </c>
      <c r="F67" s="354" t="s">
        <v>420</v>
      </c>
      <c r="G67" s="359">
        <v>870</v>
      </c>
      <c r="H67" s="348"/>
      <c r="I67" s="348"/>
      <c r="J67" s="348"/>
      <c r="K67" s="348"/>
      <c r="L67" s="348"/>
      <c r="M67" s="348"/>
      <c r="N67" s="349">
        <v>624.9</v>
      </c>
      <c r="O67" s="349">
        <v>1874.7</v>
      </c>
      <c r="P67" s="349">
        <v>1874.7</v>
      </c>
      <c r="Q67" s="348">
        <f t="shared" si="4"/>
        <v>4374.3</v>
      </c>
      <c r="R67" s="33"/>
    </row>
    <row r="68" spans="1:18" ht="35.1" customHeight="1" x14ac:dyDescent="0.25">
      <c r="A68" s="371" t="s">
        <v>140</v>
      </c>
      <c r="B68" s="361" t="s">
        <v>421</v>
      </c>
      <c r="C68" s="33"/>
      <c r="D68" s="30">
        <v>975</v>
      </c>
      <c r="E68" s="354" t="s">
        <v>354</v>
      </c>
      <c r="F68" s="354" t="s">
        <v>422</v>
      </c>
      <c r="G68" s="372" t="s">
        <v>423</v>
      </c>
      <c r="H68" s="348">
        <v>2069.1</v>
      </c>
      <c r="I68" s="348">
        <v>2048.5</v>
      </c>
      <c r="J68" s="348">
        <v>2159.8000000000002</v>
      </c>
      <c r="K68" s="348">
        <f>1921.59+580.31</f>
        <v>2501.8999999999996</v>
      </c>
      <c r="L68" s="348">
        <v>2453.9</v>
      </c>
      <c r="M68" s="348">
        <f>1245.3+32</f>
        <v>1277.3</v>
      </c>
      <c r="N68" s="349">
        <v>0</v>
      </c>
      <c r="O68" s="349">
        <v>0</v>
      </c>
      <c r="P68" s="349">
        <v>0</v>
      </c>
      <c r="Q68" s="348">
        <f t="shared" si="4"/>
        <v>12510.499999999998</v>
      </c>
      <c r="R68" s="33"/>
    </row>
    <row r="69" spans="1:18" ht="35.1" customHeight="1" x14ac:dyDescent="0.25">
      <c r="A69" s="371"/>
      <c r="B69" s="361"/>
      <c r="C69" s="33"/>
      <c r="D69" s="30">
        <v>975</v>
      </c>
      <c r="E69" s="354" t="s">
        <v>354</v>
      </c>
      <c r="F69" s="354" t="s">
        <v>422</v>
      </c>
      <c r="G69" s="359">
        <v>244</v>
      </c>
      <c r="H69" s="348">
        <v>48</v>
      </c>
      <c r="I69" s="348">
        <v>49.5</v>
      </c>
      <c r="J69" s="348">
        <v>152</v>
      </c>
      <c r="K69" s="348">
        <v>194.7</v>
      </c>
      <c r="L69" s="348">
        <v>150.69999999999999</v>
      </c>
      <c r="M69" s="348">
        <v>117.6</v>
      </c>
      <c r="N69" s="349">
        <v>0</v>
      </c>
      <c r="O69" s="349">
        <v>0</v>
      </c>
      <c r="P69" s="349">
        <v>0</v>
      </c>
      <c r="Q69" s="348">
        <f t="shared" si="4"/>
        <v>712.5</v>
      </c>
      <c r="R69" s="33"/>
    </row>
    <row r="70" spans="1:18" ht="35.1" customHeight="1" x14ac:dyDescent="0.25">
      <c r="A70" s="371"/>
      <c r="B70" s="361"/>
      <c r="C70" s="33"/>
      <c r="D70" s="30">
        <v>975</v>
      </c>
      <c r="E70" s="354" t="s">
        <v>354</v>
      </c>
      <c r="F70" s="354" t="s">
        <v>422</v>
      </c>
      <c r="G70" s="359">
        <v>611</v>
      </c>
      <c r="H70" s="348">
        <v>69419.8</v>
      </c>
      <c r="I70" s="348">
        <v>74727.600000000006</v>
      </c>
      <c r="J70" s="348">
        <v>75371.399999999994</v>
      </c>
      <c r="K70" s="348">
        <v>82441.7</v>
      </c>
      <c r="L70" s="348">
        <v>87113.3</v>
      </c>
      <c r="M70" s="348">
        <v>84914.7</v>
      </c>
      <c r="N70" s="349">
        <v>91378.5</v>
      </c>
      <c r="O70" s="349">
        <v>90472.6</v>
      </c>
      <c r="P70" s="349">
        <v>90472.6</v>
      </c>
      <c r="Q70" s="348">
        <f t="shared" si="4"/>
        <v>746312.2</v>
      </c>
      <c r="R70" s="33"/>
    </row>
    <row r="71" spans="1:18" ht="35.1" customHeight="1" x14ac:dyDescent="0.25">
      <c r="A71" s="371"/>
      <c r="B71" s="361"/>
      <c r="C71" s="33"/>
      <c r="D71" s="30">
        <v>975</v>
      </c>
      <c r="E71" s="354" t="s">
        <v>372</v>
      </c>
      <c r="F71" s="354" t="s">
        <v>422</v>
      </c>
      <c r="G71" s="359">
        <v>611</v>
      </c>
      <c r="H71" s="348"/>
      <c r="I71" s="348"/>
      <c r="J71" s="348"/>
      <c r="K71" s="348"/>
      <c r="L71" s="348"/>
      <c r="M71" s="348">
        <v>10565.4</v>
      </c>
      <c r="N71" s="349">
        <v>11184.2</v>
      </c>
      <c r="O71" s="349">
        <v>10775.8</v>
      </c>
      <c r="P71" s="349">
        <v>10775.8</v>
      </c>
      <c r="Q71" s="348">
        <f t="shared" si="4"/>
        <v>43301.2</v>
      </c>
      <c r="R71" s="33"/>
    </row>
    <row r="72" spans="1:18" ht="35.1" customHeight="1" x14ac:dyDescent="0.25">
      <c r="A72" s="371"/>
      <c r="B72" s="361"/>
      <c r="C72" s="33"/>
      <c r="D72" s="30">
        <v>975</v>
      </c>
      <c r="E72" s="354" t="s">
        <v>354</v>
      </c>
      <c r="F72" s="354" t="s">
        <v>422</v>
      </c>
      <c r="G72" s="359">
        <v>612</v>
      </c>
      <c r="H72" s="348">
        <v>1060.3</v>
      </c>
      <c r="I72" s="348">
        <v>685.7</v>
      </c>
      <c r="J72" s="348">
        <v>3330.5</v>
      </c>
      <c r="K72" s="348">
        <v>4576</v>
      </c>
      <c r="L72" s="348">
        <v>4798.1000000000004</v>
      </c>
      <c r="M72" s="348">
        <v>4598.3999999999996</v>
      </c>
      <c r="N72" s="349">
        <v>0</v>
      </c>
      <c r="O72" s="349">
        <v>0</v>
      </c>
      <c r="P72" s="349">
        <v>0</v>
      </c>
      <c r="Q72" s="348">
        <f t="shared" si="4"/>
        <v>19049</v>
      </c>
      <c r="R72" s="33"/>
    </row>
    <row r="73" spans="1:18" ht="35.1" customHeight="1" x14ac:dyDescent="0.25">
      <c r="A73" s="371"/>
      <c r="B73" s="361"/>
      <c r="C73" s="33"/>
      <c r="D73" s="30">
        <v>975</v>
      </c>
      <c r="E73" s="354" t="s">
        <v>354</v>
      </c>
      <c r="F73" s="354" t="s">
        <v>422</v>
      </c>
      <c r="G73" s="359">
        <v>621</v>
      </c>
      <c r="H73" s="348">
        <v>28912.7</v>
      </c>
      <c r="I73" s="348">
        <v>29234.2</v>
      </c>
      <c r="J73" s="348">
        <v>29412</v>
      </c>
      <c r="K73" s="348">
        <v>31346.1</v>
      </c>
      <c r="L73" s="348">
        <v>32415.7</v>
      </c>
      <c r="M73" s="348">
        <v>31196.1</v>
      </c>
      <c r="N73" s="349">
        <v>30417.3</v>
      </c>
      <c r="O73" s="349">
        <v>30131.7</v>
      </c>
      <c r="P73" s="349">
        <v>30131.7</v>
      </c>
      <c r="Q73" s="348">
        <f t="shared" si="4"/>
        <v>273197.5</v>
      </c>
      <c r="R73" s="33"/>
    </row>
    <row r="74" spans="1:18" ht="35.1" customHeight="1" x14ac:dyDescent="0.25">
      <c r="A74" s="371"/>
      <c r="B74" s="361"/>
      <c r="C74" s="33"/>
      <c r="D74" s="30">
        <v>975</v>
      </c>
      <c r="E74" s="354" t="s">
        <v>372</v>
      </c>
      <c r="F74" s="354" t="s">
        <v>422</v>
      </c>
      <c r="G74" s="359">
        <v>621</v>
      </c>
      <c r="H74" s="348"/>
      <c r="I74" s="348"/>
      <c r="J74" s="348"/>
      <c r="K74" s="348"/>
      <c r="L74" s="348"/>
      <c r="M74" s="348">
        <v>4913.8</v>
      </c>
      <c r="N74" s="349">
        <v>4838.5</v>
      </c>
      <c r="O74" s="349">
        <v>4703.3999999999996</v>
      </c>
      <c r="P74" s="349">
        <v>4703.3999999999996</v>
      </c>
      <c r="Q74" s="348">
        <f t="shared" si="4"/>
        <v>19159.099999999999</v>
      </c>
      <c r="R74" s="33"/>
    </row>
    <row r="75" spans="1:18" ht="35.1" customHeight="1" x14ac:dyDescent="0.25">
      <c r="A75" s="371"/>
      <c r="B75" s="361"/>
      <c r="C75" s="33"/>
      <c r="D75" s="30">
        <v>975</v>
      </c>
      <c r="E75" s="354" t="s">
        <v>354</v>
      </c>
      <c r="F75" s="354" t="s">
        <v>422</v>
      </c>
      <c r="G75" s="359">
        <v>622</v>
      </c>
      <c r="H75" s="348">
        <v>348.3</v>
      </c>
      <c r="I75" s="348">
        <v>360.9</v>
      </c>
      <c r="J75" s="348">
        <v>1248.9000000000001</v>
      </c>
      <c r="K75" s="348">
        <v>1661.6</v>
      </c>
      <c r="L75" s="348">
        <v>1917.9</v>
      </c>
      <c r="M75" s="348">
        <v>1604.6</v>
      </c>
      <c r="N75" s="349">
        <v>0</v>
      </c>
      <c r="O75" s="349">
        <v>0</v>
      </c>
      <c r="P75" s="349">
        <v>0</v>
      </c>
      <c r="Q75" s="348">
        <f t="shared" si="4"/>
        <v>7142.2000000000007</v>
      </c>
      <c r="R75" s="33"/>
    </row>
    <row r="76" spans="1:18" ht="35.1" customHeight="1" x14ac:dyDescent="0.25">
      <c r="A76" s="371"/>
      <c r="B76" s="361"/>
      <c r="C76" s="33"/>
      <c r="D76" s="30">
        <v>975</v>
      </c>
      <c r="E76" s="354" t="s">
        <v>354</v>
      </c>
      <c r="F76" s="354" t="s">
        <v>422</v>
      </c>
      <c r="G76" s="359">
        <v>870</v>
      </c>
      <c r="H76" s="348"/>
      <c r="I76" s="348"/>
      <c r="J76" s="348"/>
      <c r="K76" s="348">
        <v>1355.7</v>
      </c>
      <c r="L76" s="348"/>
      <c r="M76" s="348"/>
      <c r="N76" s="349"/>
      <c r="O76" s="349"/>
      <c r="P76" s="349">
        <f>O76</f>
        <v>0</v>
      </c>
      <c r="Q76" s="348">
        <f t="shared" si="4"/>
        <v>1355.7</v>
      </c>
      <c r="R76" s="33"/>
    </row>
    <row r="77" spans="1:18" ht="35.1" customHeight="1" x14ac:dyDescent="0.25">
      <c r="A77" s="371"/>
      <c r="B77" s="361"/>
      <c r="C77" s="33"/>
      <c r="D77" s="30">
        <v>975</v>
      </c>
      <c r="E77" s="354" t="s">
        <v>354</v>
      </c>
      <c r="F77" s="354" t="s">
        <v>424</v>
      </c>
      <c r="G77" s="359">
        <v>110</v>
      </c>
      <c r="H77" s="348">
        <v>19.7</v>
      </c>
      <c r="I77" s="348"/>
      <c r="J77" s="348"/>
      <c r="K77" s="348"/>
      <c r="L77" s="348"/>
      <c r="M77" s="348"/>
      <c r="N77" s="349"/>
      <c r="O77" s="349"/>
      <c r="P77" s="349">
        <f>O77</f>
        <v>0</v>
      </c>
      <c r="Q77" s="348">
        <f t="shared" si="4"/>
        <v>19.7</v>
      </c>
      <c r="R77" s="33"/>
    </row>
    <row r="78" spans="1:18" ht="35.1" customHeight="1" x14ac:dyDescent="0.25">
      <c r="A78" s="371"/>
      <c r="B78" s="361"/>
      <c r="C78" s="33"/>
      <c r="D78" s="30">
        <v>975</v>
      </c>
      <c r="E78" s="354" t="s">
        <v>354</v>
      </c>
      <c r="F78" s="354" t="s">
        <v>425</v>
      </c>
      <c r="G78" s="359">
        <v>110</v>
      </c>
      <c r="H78" s="348"/>
      <c r="I78" s="348"/>
      <c r="J78" s="348">
        <v>911.7</v>
      </c>
      <c r="K78" s="348">
        <v>908.9</v>
      </c>
      <c r="L78" s="348">
        <f>724.5+218.8</f>
        <v>943.3</v>
      </c>
      <c r="M78" s="348">
        <v>456.8</v>
      </c>
      <c r="N78" s="349">
        <v>0</v>
      </c>
      <c r="O78" s="349">
        <v>0</v>
      </c>
      <c r="P78" s="349">
        <v>0</v>
      </c>
      <c r="Q78" s="348">
        <f t="shared" si="4"/>
        <v>3220.7</v>
      </c>
      <c r="R78" s="33"/>
    </row>
    <row r="79" spans="1:18" ht="35.1" customHeight="1" x14ac:dyDescent="0.25">
      <c r="A79" s="371"/>
      <c r="B79" s="361"/>
      <c r="C79" s="33"/>
      <c r="D79" s="30">
        <v>975</v>
      </c>
      <c r="E79" s="354" t="s">
        <v>354</v>
      </c>
      <c r="F79" s="354" t="s">
        <v>425</v>
      </c>
      <c r="G79" s="359">
        <v>240</v>
      </c>
      <c r="H79" s="348"/>
      <c r="I79" s="348"/>
      <c r="J79" s="348">
        <v>17.5</v>
      </c>
      <c r="K79" s="348">
        <v>20.2</v>
      </c>
      <c r="L79" s="348">
        <v>20.2</v>
      </c>
      <c r="M79" s="348">
        <v>13.9</v>
      </c>
      <c r="N79" s="349">
        <v>0</v>
      </c>
      <c r="O79" s="349">
        <v>0</v>
      </c>
      <c r="P79" s="349">
        <v>0</v>
      </c>
      <c r="Q79" s="348">
        <f t="shared" si="4"/>
        <v>71.800000000000011</v>
      </c>
      <c r="R79" s="33"/>
    </row>
    <row r="80" spans="1:18" ht="35.1" customHeight="1" x14ac:dyDescent="0.25">
      <c r="A80" s="371"/>
      <c r="B80" s="361"/>
      <c r="C80" s="33"/>
      <c r="D80" s="30">
        <v>975</v>
      </c>
      <c r="E80" s="354" t="s">
        <v>354</v>
      </c>
      <c r="F80" s="354" t="s">
        <v>425</v>
      </c>
      <c r="G80" s="359">
        <v>611</v>
      </c>
      <c r="H80" s="348"/>
      <c r="I80" s="348"/>
      <c r="J80" s="348">
        <v>19514.400000000001</v>
      </c>
      <c r="K80" s="348">
        <v>19413.400000000001</v>
      </c>
      <c r="L80" s="348">
        <v>20229.8</v>
      </c>
      <c r="M80" s="348">
        <v>22664.400000000001</v>
      </c>
      <c r="N80" s="349">
        <v>26051.4</v>
      </c>
      <c r="O80" s="349">
        <v>27078.1</v>
      </c>
      <c r="P80" s="349">
        <v>27078.1</v>
      </c>
      <c r="Q80" s="348">
        <f t="shared" si="4"/>
        <v>162029.6</v>
      </c>
      <c r="R80" s="33"/>
    </row>
    <row r="81" spans="1:21" ht="35.1" customHeight="1" x14ac:dyDescent="0.25">
      <c r="A81" s="371"/>
      <c r="B81" s="361"/>
      <c r="C81" s="33"/>
      <c r="D81" s="30">
        <v>975</v>
      </c>
      <c r="E81" s="354" t="s">
        <v>354</v>
      </c>
      <c r="F81" s="354" t="s">
        <v>425</v>
      </c>
      <c r="G81" s="359">
        <v>612</v>
      </c>
      <c r="H81" s="348"/>
      <c r="I81" s="348"/>
      <c r="J81" s="348"/>
      <c r="K81" s="348">
        <v>119</v>
      </c>
      <c r="L81" s="348">
        <v>113</v>
      </c>
      <c r="M81" s="348">
        <v>118</v>
      </c>
      <c r="N81" s="349">
        <v>0</v>
      </c>
      <c r="O81" s="349">
        <v>0</v>
      </c>
      <c r="P81" s="349">
        <v>0</v>
      </c>
      <c r="Q81" s="348">
        <f t="shared" si="4"/>
        <v>350</v>
      </c>
      <c r="R81" s="33"/>
    </row>
    <row r="82" spans="1:21" ht="35.1" customHeight="1" x14ac:dyDescent="0.25">
      <c r="A82" s="371"/>
      <c r="B82" s="361"/>
      <c r="C82" s="33"/>
      <c r="D82" s="30">
        <v>975</v>
      </c>
      <c r="E82" s="354" t="s">
        <v>354</v>
      </c>
      <c r="F82" s="354" t="s">
        <v>425</v>
      </c>
      <c r="G82" s="359">
        <v>621</v>
      </c>
      <c r="H82" s="348"/>
      <c r="I82" s="348"/>
      <c r="J82" s="348">
        <v>9019.2000000000007</v>
      </c>
      <c r="K82" s="348">
        <v>9035.1</v>
      </c>
      <c r="L82" s="348">
        <v>9369.2999999999993</v>
      </c>
      <c r="M82" s="348">
        <v>7901</v>
      </c>
      <c r="N82" s="349">
        <v>8624</v>
      </c>
      <c r="O82" s="349">
        <v>8991.7999999999993</v>
      </c>
      <c r="P82" s="349">
        <v>8991.7999999999993</v>
      </c>
      <c r="Q82" s="348">
        <f t="shared" si="4"/>
        <v>61932.200000000012</v>
      </c>
      <c r="R82" s="33"/>
    </row>
    <row r="83" spans="1:21" ht="52.15" customHeight="1" x14ac:dyDescent="0.25">
      <c r="A83" s="371"/>
      <c r="B83" s="361"/>
      <c r="C83" s="33"/>
      <c r="D83" s="30">
        <v>975</v>
      </c>
      <c r="E83" s="354" t="s">
        <v>354</v>
      </c>
      <c r="F83" s="354" t="s">
        <v>426</v>
      </c>
      <c r="G83" s="359">
        <v>621</v>
      </c>
      <c r="H83" s="348"/>
      <c r="I83" s="348"/>
      <c r="J83" s="348"/>
      <c r="K83" s="348"/>
      <c r="L83" s="348">
        <v>162.80000000000001</v>
      </c>
      <c r="M83" s="348">
        <v>48.8</v>
      </c>
      <c r="N83" s="349">
        <v>2.8</v>
      </c>
      <c r="O83" s="349">
        <v>0</v>
      </c>
      <c r="P83" s="349">
        <f>O83</f>
        <v>0</v>
      </c>
      <c r="Q83" s="348">
        <f t="shared" si="4"/>
        <v>214.40000000000003</v>
      </c>
      <c r="R83" s="33"/>
    </row>
    <row r="84" spans="1:21" ht="60.6" customHeight="1" x14ac:dyDescent="0.25">
      <c r="A84" s="371"/>
      <c r="B84" s="361"/>
      <c r="C84" s="33"/>
      <c r="D84" s="30">
        <v>975</v>
      </c>
      <c r="E84" s="354" t="s">
        <v>354</v>
      </c>
      <c r="F84" s="354" t="s">
        <v>427</v>
      </c>
      <c r="G84" s="359">
        <v>611</v>
      </c>
      <c r="H84" s="348"/>
      <c r="I84" s="348"/>
      <c r="J84" s="348"/>
      <c r="K84" s="348"/>
      <c r="L84" s="348">
        <v>329.3</v>
      </c>
      <c r="M84" s="348">
        <v>15</v>
      </c>
      <c r="N84" s="349">
        <v>1086.9000000000001</v>
      </c>
      <c r="O84" s="349">
        <v>0</v>
      </c>
      <c r="P84" s="349">
        <f>O84</f>
        <v>0</v>
      </c>
      <c r="Q84" s="348">
        <f t="shared" si="4"/>
        <v>1431.2</v>
      </c>
      <c r="R84" s="33"/>
    </row>
    <row r="85" spans="1:21" ht="35.1" customHeight="1" x14ac:dyDescent="0.25">
      <c r="A85" s="371"/>
      <c r="B85" s="361"/>
      <c r="C85" s="33"/>
      <c r="D85" s="30">
        <v>975</v>
      </c>
      <c r="E85" s="354" t="s">
        <v>354</v>
      </c>
      <c r="F85" s="354" t="s">
        <v>428</v>
      </c>
      <c r="G85" s="359">
        <v>611</v>
      </c>
      <c r="H85" s="348"/>
      <c r="I85" s="348"/>
      <c r="J85" s="348"/>
      <c r="K85" s="348"/>
      <c r="L85" s="348"/>
      <c r="M85" s="348">
        <v>116.5</v>
      </c>
      <c r="N85" s="349"/>
      <c r="O85" s="349"/>
      <c r="P85" s="349"/>
      <c r="Q85" s="348">
        <f t="shared" si="4"/>
        <v>116.5</v>
      </c>
      <c r="R85" s="33"/>
    </row>
    <row r="86" spans="1:21" ht="35.1" customHeight="1" x14ac:dyDescent="0.25">
      <c r="A86" s="371"/>
      <c r="B86" s="361"/>
      <c r="C86" s="33"/>
      <c r="D86" s="30">
        <v>975</v>
      </c>
      <c r="E86" s="354" t="s">
        <v>354</v>
      </c>
      <c r="F86" s="354" t="s">
        <v>428</v>
      </c>
      <c r="G86" s="359">
        <v>621</v>
      </c>
      <c r="H86" s="348"/>
      <c r="I86" s="348"/>
      <c r="J86" s="348"/>
      <c r="K86" s="348"/>
      <c r="L86" s="348"/>
      <c r="M86" s="348">
        <v>3.6</v>
      </c>
      <c r="N86" s="349"/>
      <c r="O86" s="349"/>
      <c r="P86" s="349"/>
      <c r="Q86" s="348">
        <f t="shared" si="4"/>
        <v>3.6</v>
      </c>
      <c r="R86" s="33"/>
    </row>
    <row r="87" spans="1:21" ht="35.1" customHeight="1" x14ac:dyDescent="0.25">
      <c r="A87" s="371"/>
      <c r="B87" s="361"/>
      <c r="C87" s="33"/>
      <c r="D87" s="30">
        <v>975</v>
      </c>
      <c r="E87" s="354" t="s">
        <v>354</v>
      </c>
      <c r="F87" s="354" t="s">
        <v>429</v>
      </c>
      <c r="G87" s="359">
        <v>110</v>
      </c>
      <c r="H87" s="348"/>
      <c r="I87" s="348"/>
      <c r="J87" s="348"/>
      <c r="K87" s="348"/>
      <c r="L87" s="348">
        <v>460.4</v>
      </c>
      <c r="M87" s="348"/>
      <c r="N87" s="349"/>
      <c r="O87" s="349"/>
      <c r="P87" s="349">
        <f>O87</f>
        <v>0</v>
      </c>
      <c r="Q87" s="348">
        <f t="shared" si="4"/>
        <v>460.4</v>
      </c>
      <c r="R87" s="33"/>
    </row>
    <row r="88" spans="1:21" ht="35.1" customHeight="1" x14ac:dyDescent="0.25">
      <c r="A88" s="371"/>
      <c r="B88" s="361"/>
      <c r="C88" s="33"/>
      <c r="D88" s="30">
        <v>975</v>
      </c>
      <c r="E88" s="354" t="s">
        <v>354</v>
      </c>
      <c r="F88" s="354" t="s">
        <v>425</v>
      </c>
      <c r="G88" s="359">
        <v>870</v>
      </c>
      <c r="H88" s="348"/>
      <c r="I88" s="348"/>
      <c r="J88" s="348"/>
      <c r="K88" s="348"/>
      <c r="L88" s="348"/>
      <c r="M88" s="348"/>
      <c r="N88" s="349"/>
      <c r="O88" s="349"/>
      <c r="P88" s="349">
        <f>O88</f>
        <v>0</v>
      </c>
      <c r="Q88" s="348">
        <f t="shared" si="4"/>
        <v>0</v>
      </c>
      <c r="R88" s="33"/>
    </row>
    <row r="89" spans="1:21" ht="35.1" customHeight="1" x14ac:dyDescent="0.25">
      <c r="A89" s="371"/>
      <c r="B89" s="361"/>
      <c r="C89" s="33"/>
      <c r="D89" s="30">
        <v>975</v>
      </c>
      <c r="E89" s="354" t="s">
        <v>354</v>
      </c>
      <c r="F89" s="354" t="s">
        <v>424</v>
      </c>
      <c r="G89" s="359">
        <v>611</v>
      </c>
      <c r="H89" s="348">
        <v>77</v>
      </c>
      <c r="I89" s="348"/>
      <c r="J89" s="348"/>
      <c r="K89" s="348"/>
      <c r="L89" s="348"/>
      <c r="M89" s="348"/>
      <c r="N89" s="349"/>
      <c r="O89" s="349"/>
      <c r="P89" s="349">
        <f>O89</f>
        <v>0</v>
      </c>
      <c r="Q89" s="348">
        <f t="shared" si="4"/>
        <v>77</v>
      </c>
      <c r="R89" s="33"/>
    </row>
    <row r="90" spans="1:21" ht="69.75" customHeight="1" x14ac:dyDescent="0.25">
      <c r="A90" s="373" t="s">
        <v>142</v>
      </c>
      <c r="B90" s="363" t="s">
        <v>430</v>
      </c>
      <c r="C90" s="30" t="s">
        <v>17</v>
      </c>
      <c r="D90" s="354" t="s">
        <v>18</v>
      </c>
      <c r="E90" s="354" t="s">
        <v>354</v>
      </c>
      <c r="F90" s="30" t="s">
        <v>15</v>
      </c>
      <c r="G90" s="30" t="s">
        <v>15</v>
      </c>
      <c r="H90" s="72">
        <v>777.6</v>
      </c>
      <c r="I90" s="72">
        <v>532.1</v>
      </c>
      <c r="J90" s="72">
        <v>1013.8</v>
      </c>
      <c r="K90" s="72">
        <v>1013.8</v>
      </c>
      <c r="L90" s="72">
        <f>201+878</f>
        <v>1079</v>
      </c>
      <c r="M90" s="72">
        <f>772.8+3490.5</f>
        <v>4263.3</v>
      </c>
      <c r="N90" s="71">
        <f>1085+5315.8</f>
        <v>6400.8</v>
      </c>
      <c r="O90" s="71">
        <f>1407+5315.8-4300</f>
        <v>2422.8000000000002</v>
      </c>
      <c r="P90" s="71">
        <f>1407+5315.8-4300</f>
        <v>2422.8000000000002</v>
      </c>
      <c r="Q90" s="348">
        <f t="shared" si="4"/>
        <v>19926</v>
      </c>
      <c r="R90" s="33"/>
    </row>
    <row r="91" spans="1:21" ht="75" hidden="1" customHeight="1" x14ac:dyDescent="0.25">
      <c r="A91" s="374" t="s">
        <v>140</v>
      </c>
      <c r="B91" s="375" t="s">
        <v>431</v>
      </c>
      <c r="C91" s="375" t="s">
        <v>17</v>
      </c>
      <c r="D91" s="376" t="s">
        <v>18</v>
      </c>
      <c r="E91" s="376" t="s">
        <v>354</v>
      </c>
      <c r="F91" s="376" t="s">
        <v>15</v>
      </c>
      <c r="G91" s="375" t="s">
        <v>15</v>
      </c>
      <c r="H91" s="377">
        <v>0</v>
      </c>
      <c r="I91" s="377">
        <v>0</v>
      </c>
      <c r="J91" s="377">
        <v>0</v>
      </c>
      <c r="K91" s="377"/>
      <c r="L91" s="377"/>
      <c r="M91" s="377"/>
      <c r="N91" s="378"/>
      <c r="O91" s="378"/>
      <c r="P91" s="349">
        <f t="shared" ref="P91:P96" si="6">O91</f>
        <v>0</v>
      </c>
      <c r="Q91" s="348">
        <f t="shared" si="4"/>
        <v>0</v>
      </c>
      <c r="R91" s="30" t="s">
        <v>432</v>
      </c>
      <c r="S91" s="53">
        <v>2</v>
      </c>
    </row>
    <row r="92" spans="1:21" ht="134.25" hidden="1" customHeight="1" x14ac:dyDescent="0.25">
      <c r="A92" s="374" t="s">
        <v>142</v>
      </c>
      <c r="B92" s="363" t="s">
        <v>433</v>
      </c>
      <c r="C92" s="30" t="s">
        <v>17</v>
      </c>
      <c r="D92" s="374" t="s">
        <v>18</v>
      </c>
      <c r="E92" s="374" t="s">
        <v>434</v>
      </c>
      <c r="F92" s="374" t="s">
        <v>15</v>
      </c>
      <c r="G92" s="30" t="s">
        <v>15</v>
      </c>
      <c r="H92" s="72">
        <v>0</v>
      </c>
      <c r="I92" s="72">
        <v>0</v>
      </c>
      <c r="J92" s="72">
        <v>0</v>
      </c>
      <c r="K92" s="72"/>
      <c r="L92" s="72"/>
      <c r="M92" s="72"/>
      <c r="N92" s="71"/>
      <c r="O92" s="71"/>
      <c r="P92" s="349">
        <f t="shared" si="6"/>
        <v>0</v>
      </c>
      <c r="Q92" s="348">
        <f t="shared" si="4"/>
        <v>0</v>
      </c>
      <c r="R92" s="30" t="s">
        <v>435</v>
      </c>
    </row>
    <row r="93" spans="1:21" ht="72.75" hidden="1" customHeight="1" x14ac:dyDescent="0.25">
      <c r="A93" s="374" t="s">
        <v>144</v>
      </c>
      <c r="B93" s="30" t="s">
        <v>436</v>
      </c>
      <c r="C93" s="30" t="s">
        <v>17</v>
      </c>
      <c r="D93" s="374" t="s">
        <v>18</v>
      </c>
      <c r="E93" s="374" t="s">
        <v>434</v>
      </c>
      <c r="F93" s="374" t="s">
        <v>15</v>
      </c>
      <c r="G93" s="30" t="s">
        <v>15</v>
      </c>
      <c r="H93" s="72">
        <v>0</v>
      </c>
      <c r="I93" s="72">
        <v>0</v>
      </c>
      <c r="J93" s="72">
        <v>0</v>
      </c>
      <c r="K93" s="377"/>
      <c r="L93" s="377"/>
      <c r="M93" s="377"/>
      <c r="N93" s="378"/>
      <c r="O93" s="378"/>
      <c r="P93" s="349">
        <f t="shared" si="6"/>
        <v>0</v>
      </c>
      <c r="Q93" s="348">
        <f t="shared" si="4"/>
        <v>0</v>
      </c>
      <c r="R93" s="379" t="s">
        <v>437</v>
      </c>
    </row>
    <row r="94" spans="1:21" ht="78" hidden="1" customHeight="1" x14ac:dyDescent="0.25">
      <c r="A94" s="380"/>
      <c r="B94" s="30" t="s">
        <v>438</v>
      </c>
      <c r="C94" s="30" t="s">
        <v>17</v>
      </c>
      <c r="D94" s="374"/>
      <c r="E94" s="374"/>
      <c r="F94" s="374"/>
      <c r="G94" s="30" t="s">
        <v>15</v>
      </c>
      <c r="H94" s="348"/>
      <c r="I94" s="348"/>
      <c r="J94" s="72"/>
      <c r="K94" s="72"/>
      <c r="L94" s="72"/>
      <c r="M94" s="72"/>
      <c r="N94" s="71"/>
      <c r="O94" s="71"/>
      <c r="P94" s="349">
        <f t="shared" si="6"/>
        <v>0</v>
      </c>
      <c r="Q94" s="348">
        <f t="shared" si="4"/>
        <v>0</v>
      </c>
      <c r="R94" s="30" t="s">
        <v>439</v>
      </c>
      <c r="S94" s="381" t="s">
        <v>440</v>
      </c>
      <c r="T94" s="382" t="s">
        <v>441</v>
      </c>
      <c r="U94" s="383" t="s">
        <v>442</v>
      </c>
    </row>
    <row r="95" spans="1:21" ht="86.25" hidden="1" customHeight="1" x14ac:dyDescent="0.25">
      <c r="A95" s="380" t="s">
        <v>146</v>
      </c>
      <c r="B95" s="30" t="s">
        <v>443</v>
      </c>
      <c r="C95" s="30" t="s">
        <v>444</v>
      </c>
      <c r="D95" s="374" t="s">
        <v>18</v>
      </c>
      <c r="E95" s="374" t="s">
        <v>354</v>
      </c>
      <c r="F95" s="374" t="s">
        <v>445</v>
      </c>
      <c r="G95" s="30">
        <v>244</v>
      </c>
      <c r="H95" s="348"/>
      <c r="I95" s="348"/>
      <c r="J95" s="72"/>
      <c r="K95" s="72"/>
      <c r="L95" s="72"/>
      <c r="M95" s="72"/>
      <c r="N95" s="71"/>
      <c r="O95" s="71"/>
      <c r="P95" s="349">
        <f t="shared" si="6"/>
        <v>0</v>
      </c>
      <c r="Q95" s="348">
        <f t="shared" si="4"/>
        <v>0</v>
      </c>
      <c r="R95" s="30" t="s">
        <v>446</v>
      </c>
      <c r="S95" s="384"/>
      <c r="T95" s="382"/>
      <c r="U95" s="383"/>
    </row>
    <row r="96" spans="1:21" ht="70.5" hidden="1" customHeight="1" x14ac:dyDescent="0.25">
      <c r="A96" s="380" t="s">
        <v>148</v>
      </c>
      <c r="B96" s="30" t="s">
        <v>447</v>
      </c>
      <c r="C96" s="30" t="s">
        <v>444</v>
      </c>
      <c r="D96" s="374" t="s">
        <v>18</v>
      </c>
      <c r="E96" s="374" t="s">
        <v>354</v>
      </c>
      <c r="F96" s="374" t="s">
        <v>15</v>
      </c>
      <c r="G96" s="30" t="s">
        <v>15</v>
      </c>
      <c r="H96" s="348">
        <v>0</v>
      </c>
      <c r="I96" s="348">
        <v>0</v>
      </c>
      <c r="J96" s="348">
        <v>0</v>
      </c>
      <c r="K96" s="348"/>
      <c r="L96" s="348"/>
      <c r="M96" s="348"/>
      <c r="N96" s="349"/>
      <c r="O96" s="349"/>
      <c r="P96" s="349">
        <f t="shared" si="6"/>
        <v>0</v>
      </c>
      <c r="Q96" s="348">
        <f t="shared" si="4"/>
        <v>0</v>
      </c>
      <c r="R96" s="30" t="s">
        <v>448</v>
      </c>
      <c r="S96" s="384"/>
      <c r="T96" s="382"/>
      <c r="U96" s="383"/>
    </row>
    <row r="97" spans="1:18" ht="21" customHeight="1" x14ac:dyDescent="0.25">
      <c r="A97" s="385" t="s">
        <v>449</v>
      </c>
      <c r="B97" s="385"/>
      <c r="C97" s="386"/>
      <c r="D97" s="386"/>
      <c r="E97" s="386"/>
      <c r="F97" s="386"/>
      <c r="G97" s="386"/>
      <c r="H97" s="72">
        <f t="shared" ref="H97:P97" si="7">SUM(H48:H96)</f>
        <v>179920.50000000003</v>
      </c>
      <c r="I97" s="72">
        <f t="shared" si="7"/>
        <v>191066.30000000002</v>
      </c>
      <c r="J97" s="72">
        <f t="shared" si="7"/>
        <v>202246.1</v>
      </c>
      <c r="K97" s="72">
        <f t="shared" si="7"/>
        <v>210858.7</v>
      </c>
      <c r="L97" s="72">
        <f t="shared" si="7"/>
        <v>222793.49999999997</v>
      </c>
      <c r="M97" s="72">
        <f t="shared" si="7"/>
        <v>233577.89999999994</v>
      </c>
      <c r="N97" s="71">
        <f t="shared" si="7"/>
        <v>227329.49999999997</v>
      </c>
      <c r="O97" s="71">
        <f t="shared" si="7"/>
        <v>234129</v>
      </c>
      <c r="P97" s="71">
        <f t="shared" si="7"/>
        <v>234129</v>
      </c>
      <c r="Q97" s="348">
        <f>SUM(H97:P97)</f>
        <v>1936050.5</v>
      </c>
      <c r="R97" s="387"/>
    </row>
    <row r="98" spans="1:18" ht="27.75" customHeight="1" x14ac:dyDescent="0.25">
      <c r="A98" s="388" t="s">
        <v>341</v>
      </c>
      <c r="B98" s="388"/>
      <c r="C98" s="388"/>
      <c r="D98" s="388"/>
      <c r="E98" s="388"/>
      <c r="F98" s="388"/>
      <c r="G98" s="388"/>
      <c r="H98" s="389"/>
      <c r="I98" s="389"/>
      <c r="J98" s="389"/>
      <c r="K98" s="389"/>
      <c r="L98" s="389"/>
      <c r="M98" s="389"/>
      <c r="N98" s="390"/>
      <c r="O98" s="390"/>
      <c r="P98" s="390"/>
      <c r="Q98" s="389"/>
      <c r="R98" s="388"/>
    </row>
    <row r="99" spans="1:18" ht="35.1" customHeight="1" x14ac:dyDescent="0.25">
      <c r="A99" s="391" t="s">
        <v>450</v>
      </c>
      <c r="B99" s="353" t="s">
        <v>451</v>
      </c>
      <c r="C99" s="50" t="s">
        <v>17</v>
      </c>
      <c r="D99" s="374" t="s">
        <v>18</v>
      </c>
      <c r="E99" s="374" t="s">
        <v>372</v>
      </c>
      <c r="F99" s="392" t="s">
        <v>452</v>
      </c>
      <c r="G99" s="388">
        <v>611</v>
      </c>
      <c r="H99" s="72">
        <v>23037.9</v>
      </c>
      <c r="I99" s="72">
        <v>23911.599999999999</v>
      </c>
      <c r="J99" s="72">
        <v>22936.7</v>
      </c>
      <c r="K99" s="72">
        <v>22825.4</v>
      </c>
      <c r="L99" s="72">
        <v>23271.9</v>
      </c>
      <c r="M99" s="72">
        <v>24149.7</v>
      </c>
      <c r="N99" s="71">
        <v>17898.400000000001</v>
      </c>
      <c r="O99" s="71">
        <v>25043.3</v>
      </c>
      <c r="P99" s="71">
        <v>25043.3</v>
      </c>
      <c r="Q99" s="348">
        <f>SUM(H99:P99)</f>
        <v>208118.19999999998</v>
      </c>
      <c r="R99" s="33" t="s">
        <v>453</v>
      </c>
    </row>
    <row r="100" spans="1:18" ht="35.1" customHeight="1" x14ac:dyDescent="0.25">
      <c r="A100" s="391"/>
      <c r="B100" s="356"/>
      <c r="C100" s="50"/>
      <c r="D100" s="374" t="s">
        <v>18</v>
      </c>
      <c r="E100" s="374" t="s">
        <v>372</v>
      </c>
      <c r="F100" s="392" t="s">
        <v>452</v>
      </c>
      <c r="G100" s="388">
        <v>612</v>
      </c>
      <c r="H100" s="72">
        <v>228.9</v>
      </c>
      <c r="I100" s="72">
        <v>1514.5</v>
      </c>
      <c r="J100" s="72">
        <f>13390.2-J112-J115</f>
        <v>13254.2</v>
      </c>
      <c r="K100" s="72">
        <v>6851.9</v>
      </c>
      <c r="L100" s="72">
        <v>120</v>
      </c>
      <c r="M100" s="72">
        <v>14.5</v>
      </c>
      <c r="N100" s="71">
        <v>0</v>
      </c>
      <c r="O100" s="71">
        <v>0</v>
      </c>
      <c r="P100" s="71">
        <f t="shared" ref="P100:P128" si="8">O100</f>
        <v>0</v>
      </c>
      <c r="Q100" s="348">
        <f t="shared" ref="Q100:Q120" si="9">SUM(H100:P100)</f>
        <v>21984</v>
      </c>
      <c r="R100" s="33"/>
    </row>
    <row r="101" spans="1:18" ht="35.1" customHeight="1" x14ac:dyDescent="0.25">
      <c r="A101" s="391"/>
      <c r="B101" s="356"/>
      <c r="C101" s="50"/>
      <c r="D101" s="374" t="s">
        <v>18</v>
      </c>
      <c r="E101" s="374" t="s">
        <v>372</v>
      </c>
      <c r="F101" s="392" t="s">
        <v>414</v>
      </c>
      <c r="G101" s="388">
        <v>611</v>
      </c>
      <c r="H101" s="72"/>
      <c r="I101" s="72"/>
      <c r="J101" s="72"/>
      <c r="K101" s="72">
        <v>2950.8</v>
      </c>
      <c r="L101" s="72">
        <v>3915.8</v>
      </c>
      <c r="M101" s="72">
        <v>6010.2</v>
      </c>
      <c r="N101" s="71">
        <v>6148.7</v>
      </c>
      <c r="O101" s="71">
        <v>6148.7</v>
      </c>
      <c r="P101" s="71">
        <f t="shared" si="8"/>
        <v>6148.7</v>
      </c>
      <c r="Q101" s="348">
        <f t="shared" si="9"/>
        <v>31322.9</v>
      </c>
      <c r="R101" s="33"/>
    </row>
    <row r="102" spans="1:18" ht="35.1" customHeight="1" x14ac:dyDescent="0.25">
      <c r="A102" s="391"/>
      <c r="B102" s="356"/>
      <c r="C102" s="50"/>
      <c r="D102" s="374" t="s">
        <v>18</v>
      </c>
      <c r="E102" s="374" t="s">
        <v>372</v>
      </c>
      <c r="F102" s="392" t="s">
        <v>454</v>
      </c>
      <c r="G102" s="388">
        <v>611</v>
      </c>
      <c r="H102" s="72"/>
      <c r="I102" s="72"/>
      <c r="J102" s="72"/>
      <c r="K102" s="72">
        <v>111.3</v>
      </c>
      <c r="L102" s="72">
        <v>106.9</v>
      </c>
      <c r="M102" s="72">
        <v>105.5</v>
      </c>
      <c r="N102" s="71">
        <v>0</v>
      </c>
      <c r="O102" s="71">
        <v>0</v>
      </c>
      <c r="P102" s="71">
        <v>0</v>
      </c>
      <c r="Q102" s="348">
        <f t="shared" si="9"/>
        <v>323.7</v>
      </c>
      <c r="R102" s="33"/>
    </row>
    <row r="103" spans="1:18" ht="35.1" customHeight="1" x14ac:dyDescent="0.25">
      <c r="A103" s="391"/>
      <c r="B103" s="356"/>
      <c r="C103" s="50"/>
      <c r="D103" s="374" t="s">
        <v>18</v>
      </c>
      <c r="E103" s="374" t="s">
        <v>372</v>
      </c>
      <c r="F103" s="392" t="s">
        <v>455</v>
      </c>
      <c r="G103" s="388">
        <v>611</v>
      </c>
      <c r="H103" s="72">
        <v>0</v>
      </c>
      <c r="I103" s="72">
        <v>0</v>
      </c>
      <c r="J103" s="72">
        <v>0</v>
      </c>
      <c r="K103" s="72">
        <v>547.79999999999995</v>
      </c>
      <c r="L103" s="72">
        <v>0</v>
      </c>
      <c r="M103" s="72">
        <v>0</v>
      </c>
      <c r="N103" s="71">
        <v>0</v>
      </c>
      <c r="O103" s="71">
        <v>0</v>
      </c>
      <c r="P103" s="71">
        <f t="shared" si="8"/>
        <v>0</v>
      </c>
      <c r="Q103" s="348">
        <f t="shared" si="9"/>
        <v>547.79999999999995</v>
      </c>
      <c r="R103" s="33"/>
    </row>
    <row r="104" spans="1:18" ht="35.1" customHeight="1" x14ac:dyDescent="0.25">
      <c r="A104" s="391"/>
      <c r="B104" s="356"/>
      <c r="C104" s="50"/>
      <c r="D104" s="374" t="s">
        <v>18</v>
      </c>
      <c r="E104" s="374" t="s">
        <v>372</v>
      </c>
      <c r="F104" s="392" t="s">
        <v>456</v>
      </c>
      <c r="G104" s="388">
        <v>611</v>
      </c>
      <c r="H104" s="72"/>
      <c r="I104" s="72"/>
      <c r="J104" s="72"/>
      <c r="K104" s="72"/>
      <c r="L104" s="72">
        <v>1204.5</v>
      </c>
      <c r="M104" s="72">
        <v>1690.6</v>
      </c>
      <c r="N104" s="71">
        <v>1068.0999999999999</v>
      </c>
      <c r="O104" s="71">
        <v>0</v>
      </c>
      <c r="P104" s="71">
        <f t="shared" si="8"/>
        <v>0</v>
      </c>
      <c r="Q104" s="348">
        <f t="shared" si="9"/>
        <v>3963.2</v>
      </c>
      <c r="R104" s="33"/>
    </row>
    <row r="105" spans="1:18" ht="59.45" customHeight="1" x14ac:dyDescent="0.25">
      <c r="A105" s="391"/>
      <c r="B105" s="356"/>
      <c r="C105" s="50"/>
      <c r="D105" s="374" t="s">
        <v>18</v>
      </c>
      <c r="E105" s="374" t="s">
        <v>372</v>
      </c>
      <c r="F105" s="354" t="s">
        <v>427</v>
      </c>
      <c r="G105" s="388">
        <v>611</v>
      </c>
      <c r="H105" s="72"/>
      <c r="I105" s="72"/>
      <c r="J105" s="72"/>
      <c r="K105" s="72"/>
      <c r="L105" s="72">
        <v>689.2</v>
      </c>
      <c r="M105" s="72">
        <v>97.3</v>
      </c>
      <c r="N105" s="71">
        <v>589.4</v>
      </c>
      <c r="O105" s="71">
        <v>0</v>
      </c>
      <c r="P105" s="71">
        <f t="shared" si="8"/>
        <v>0</v>
      </c>
      <c r="Q105" s="348">
        <f t="shared" si="9"/>
        <v>1375.9</v>
      </c>
      <c r="R105" s="33"/>
    </row>
    <row r="106" spans="1:18" ht="59.45" customHeight="1" x14ac:dyDescent="0.25">
      <c r="A106" s="391"/>
      <c r="B106" s="356"/>
      <c r="C106" s="50"/>
      <c r="D106" s="374" t="s">
        <v>18</v>
      </c>
      <c r="E106" s="374" t="s">
        <v>372</v>
      </c>
      <c r="F106" s="354" t="s">
        <v>457</v>
      </c>
      <c r="G106" s="388">
        <v>611</v>
      </c>
      <c r="H106" s="72"/>
      <c r="I106" s="72"/>
      <c r="J106" s="72"/>
      <c r="K106" s="72"/>
      <c r="L106" s="72"/>
      <c r="M106" s="72"/>
      <c r="N106" s="71">
        <v>282.8</v>
      </c>
      <c r="O106" s="71"/>
      <c r="P106" s="71"/>
      <c r="Q106" s="348"/>
      <c r="R106" s="33"/>
    </row>
    <row r="107" spans="1:18" ht="35.1" customHeight="1" x14ac:dyDescent="0.25">
      <c r="A107" s="391"/>
      <c r="B107" s="356"/>
      <c r="C107" s="50"/>
      <c r="D107" s="374" t="s">
        <v>18</v>
      </c>
      <c r="E107" s="374" t="s">
        <v>372</v>
      </c>
      <c r="F107" s="392" t="s">
        <v>458</v>
      </c>
      <c r="G107" s="388">
        <v>612</v>
      </c>
      <c r="H107" s="72"/>
      <c r="I107" s="72"/>
      <c r="J107" s="72"/>
      <c r="K107" s="72"/>
      <c r="L107" s="72">
        <v>1000</v>
      </c>
      <c r="M107" s="72"/>
      <c r="N107" s="71"/>
      <c r="O107" s="71"/>
      <c r="P107" s="71">
        <f t="shared" si="8"/>
        <v>0</v>
      </c>
      <c r="Q107" s="348">
        <f t="shared" si="9"/>
        <v>1000</v>
      </c>
      <c r="R107" s="33"/>
    </row>
    <row r="108" spans="1:18" ht="35.1" customHeight="1" x14ac:dyDescent="0.25">
      <c r="A108" s="391"/>
      <c r="B108" s="356"/>
      <c r="C108" s="50"/>
      <c r="D108" s="374" t="s">
        <v>18</v>
      </c>
      <c r="E108" s="374" t="s">
        <v>372</v>
      </c>
      <c r="F108" s="392" t="s">
        <v>459</v>
      </c>
      <c r="G108" s="388">
        <v>612</v>
      </c>
      <c r="H108" s="72"/>
      <c r="I108" s="72"/>
      <c r="J108" s="72"/>
      <c r="K108" s="72"/>
      <c r="L108" s="72">
        <v>50</v>
      </c>
      <c r="M108" s="72"/>
      <c r="N108" s="71"/>
      <c r="O108" s="71"/>
      <c r="P108" s="71">
        <f t="shared" si="8"/>
        <v>0</v>
      </c>
      <c r="Q108" s="348">
        <f t="shared" si="9"/>
        <v>50</v>
      </c>
      <c r="R108" s="33"/>
    </row>
    <row r="109" spans="1:18" ht="35.1" customHeight="1" x14ac:dyDescent="0.25">
      <c r="A109" s="391"/>
      <c r="B109" s="356"/>
      <c r="C109" s="50"/>
      <c r="D109" s="374" t="s">
        <v>18</v>
      </c>
      <c r="E109" s="374" t="s">
        <v>372</v>
      </c>
      <c r="F109" s="392" t="s">
        <v>428</v>
      </c>
      <c r="G109" s="388">
        <v>611</v>
      </c>
      <c r="H109" s="72"/>
      <c r="I109" s="72"/>
      <c r="J109" s="72"/>
      <c r="K109" s="72"/>
      <c r="L109" s="72"/>
      <c r="M109" s="72">
        <v>94.7</v>
      </c>
      <c r="N109" s="71"/>
      <c r="O109" s="71"/>
      <c r="P109" s="71"/>
      <c r="Q109" s="348">
        <f t="shared" si="9"/>
        <v>94.7</v>
      </c>
      <c r="R109" s="33"/>
    </row>
    <row r="110" spans="1:18" ht="35.1" customHeight="1" x14ac:dyDescent="0.25">
      <c r="A110" s="391"/>
      <c r="B110" s="358"/>
      <c r="C110" s="50"/>
      <c r="D110" s="374" t="s">
        <v>18</v>
      </c>
      <c r="E110" s="374" t="s">
        <v>372</v>
      </c>
      <c r="F110" s="392" t="s">
        <v>460</v>
      </c>
      <c r="G110" s="388">
        <v>611</v>
      </c>
      <c r="H110" s="72"/>
      <c r="I110" s="72"/>
      <c r="J110" s="72"/>
      <c r="K110" s="72"/>
      <c r="L110" s="72"/>
      <c r="M110" s="72">
        <v>75.8</v>
      </c>
      <c r="N110" s="71"/>
      <c r="O110" s="71"/>
      <c r="P110" s="71"/>
      <c r="Q110" s="348">
        <f t="shared" si="9"/>
        <v>75.8</v>
      </c>
      <c r="R110" s="33"/>
    </row>
    <row r="111" spans="1:18" ht="51.75" customHeight="1" x14ac:dyDescent="0.25">
      <c r="A111" s="391"/>
      <c r="B111" s="363" t="s">
        <v>461</v>
      </c>
      <c r="C111" s="50"/>
      <c r="D111" s="374" t="s">
        <v>18</v>
      </c>
      <c r="E111" s="374" t="s">
        <v>372</v>
      </c>
      <c r="F111" s="374" t="s">
        <v>15</v>
      </c>
      <c r="G111" s="30" t="s">
        <v>15</v>
      </c>
      <c r="H111" s="72">
        <f>959+71.4+16.6</f>
        <v>1047</v>
      </c>
      <c r="I111" s="72">
        <v>1619.2</v>
      </c>
      <c r="J111" s="72">
        <v>1279</v>
      </c>
      <c r="K111" s="72">
        <v>1279</v>
      </c>
      <c r="L111" s="72">
        <f>2009.3+22</f>
        <v>2031.3</v>
      </c>
      <c r="M111" s="72">
        <v>1418.7</v>
      </c>
      <c r="N111" s="71">
        <v>749.7</v>
      </c>
      <c r="O111" s="71">
        <v>1016.2</v>
      </c>
      <c r="P111" s="71">
        <v>1016.2</v>
      </c>
      <c r="Q111" s="348">
        <f t="shared" si="9"/>
        <v>11456.300000000003</v>
      </c>
      <c r="R111" s="33"/>
    </row>
    <row r="112" spans="1:18" ht="68.45" customHeight="1" x14ac:dyDescent="0.25">
      <c r="A112" s="393" t="s">
        <v>462</v>
      </c>
      <c r="B112" s="394" t="s">
        <v>463</v>
      </c>
      <c r="C112" s="395" t="s">
        <v>464</v>
      </c>
      <c r="D112" s="396" t="s">
        <v>18</v>
      </c>
      <c r="E112" s="396" t="s">
        <v>354</v>
      </c>
      <c r="F112" s="396" t="s">
        <v>452</v>
      </c>
      <c r="G112" s="98">
        <v>612</v>
      </c>
      <c r="H112" s="71"/>
      <c r="I112" s="71">
        <v>49.6</v>
      </c>
      <c r="J112" s="71">
        <v>63.5</v>
      </c>
      <c r="K112" s="397"/>
      <c r="L112" s="397"/>
      <c r="M112" s="397"/>
      <c r="N112" s="398"/>
      <c r="O112" s="398"/>
      <c r="P112" s="71">
        <f t="shared" si="8"/>
        <v>0</v>
      </c>
      <c r="Q112" s="348">
        <f t="shared" si="9"/>
        <v>113.1</v>
      </c>
      <c r="R112" s="394" t="s">
        <v>465</v>
      </c>
    </row>
    <row r="113" spans="1:18" ht="61.5" customHeight="1" x14ac:dyDescent="0.25">
      <c r="A113" s="393"/>
      <c r="B113" s="394"/>
      <c r="C113" s="395"/>
      <c r="D113" s="396" t="s">
        <v>18</v>
      </c>
      <c r="E113" s="396" t="s">
        <v>354</v>
      </c>
      <c r="F113" s="396" t="s">
        <v>452</v>
      </c>
      <c r="G113" s="98">
        <v>244</v>
      </c>
      <c r="H113" s="71">
        <v>59.6</v>
      </c>
      <c r="I113" s="71">
        <v>10</v>
      </c>
      <c r="J113" s="71">
        <v>10</v>
      </c>
      <c r="K113" s="397"/>
      <c r="L113" s="397"/>
      <c r="M113" s="397"/>
      <c r="N113" s="398"/>
      <c r="O113" s="398"/>
      <c r="P113" s="71">
        <f t="shared" si="8"/>
        <v>0</v>
      </c>
      <c r="Q113" s="348">
        <f t="shared" si="9"/>
        <v>79.599999999999994</v>
      </c>
      <c r="R113" s="394"/>
    </row>
    <row r="114" spans="1:18" ht="42.75" customHeight="1" x14ac:dyDescent="0.25">
      <c r="A114" s="399" t="s">
        <v>466</v>
      </c>
      <c r="B114" s="394" t="s">
        <v>467</v>
      </c>
      <c r="C114" s="395" t="s">
        <v>17</v>
      </c>
      <c r="D114" s="396" t="s">
        <v>18</v>
      </c>
      <c r="E114" s="396" t="s">
        <v>317</v>
      </c>
      <c r="F114" s="396" t="s">
        <v>468</v>
      </c>
      <c r="G114" s="98">
        <v>244</v>
      </c>
      <c r="H114" s="71">
        <v>31.4</v>
      </c>
      <c r="I114" s="71"/>
      <c r="J114" s="71"/>
      <c r="K114" s="72"/>
      <c r="L114" s="72"/>
      <c r="M114" s="72"/>
      <c r="N114" s="71"/>
      <c r="O114" s="71"/>
      <c r="P114" s="71">
        <f t="shared" si="8"/>
        <v>0</v>
      </c>
      <c r="Q114" s="348">
        <f t="shared" si="9"/>
        <v>31.4</v>
      </c>
      <c r="R114" s="394" t="s">
        <v>469</v>
      </c>
    </row>
    <row r="115" spans="1:18" ht="25.15" customHeight="1" x14ac:dyDescent="0.25">
      <c r="A115" s="399"/>
      <c r="B115" s="394"/>
      <c r="C115" s="395"/>
      <c r="D115" s="396" t="s">
        <v>18</v>
      </c>
      <c r="E115" s="396" t="s">
        <v>354</v>
      </c>
      <c r="F115" s="396" t="s">
        <v>452</v>
      </c>
      <c r="G115" s="98">
        <v>612</v>
      </c>
      <c r="H115" s="71">
        <v>16</v>
      </c>
      <c r="I115" s="71">
        <v>47.1</v>
      </c>
      <c r="J115" s="71">
        <v>72.5</v>
      </c>
      <c r="K115" s="397"/>
      <c r="L115" s="397"/>
      <c r="M115" s="397"/>
      <c r="N115" s="398"/>
      <c r="O115" s="398"/>
      <c r="P115" s="71">
        <f t="shared" si="8"/>
        <v>0</v>
      </c>
      <c r="Q115" s="348">
        <f t="shared" si="9"/>
        <v>135.6</v>
      </c>
      <c r="R115" s="394"/>
    </row>
    <row r="116" spans="1:18" ht="60.75" hidden="1" customHeight="1" x14ac:dyDescent="0.25">
      <c r="A116" s="400" t="s">
        <v>470</v>
      </c>
      <c r="B116" s="401" t="s">
        <v>471</v>
      </c>
      <c r="C116" s="98" t="s">
        <v>17</v>
      </c>
      <c r="D116" s="396">
        <v>975</v>
      </c>
      <c r="E116" s="396" t="s">
        <v>434</v>
      </c>
      <c r="F116" s="396" t="s">
        <v>15</v>
      </c>
      <c r="G116" s="402" t="s">
        <v>15</v>
      </c>
      <c r="H116" s="74">
        <v>0</v>
      </c>
      <c r="I116" s="74">
        <v>0</v>
      </c>
      <c r="J116" s="74">
        <v>0</v>
      </c>
      <c r="K116" s="72"/>
      <c r="L116" s="72"/>
      <c r="M116" s="72"/>
      <c r="N116" s="71"/>
      <c r="O116" s="71"/>
      <c r="P116" s="71">
        <f t="shared" si="8"/>
        <v>0</v>
      </c>
      <c r="Q116" s="348">
        <f t="shared" si="9"/>
        <v>0</v>
      </c>
      <c r="R116" s="401" t="s">
        <v>472</v>
      </c>
    </row>
    <row r="117" spans="1:18" ht="102.75" hidden="1" customHeight="1" x14ac:dyDescent="0.25">
      <c r="A117" s="400"/>
      <c r="B117" s="401"/>
      <c r="C117" s="98" t="s">
        <v>473</v>
      </c>
      <c r="D117" s="396">
        <v>964</v>
      </c>
      <c r="E117" s="396" t="s">
        <v>434</v>
      </c>
      <c r="F117" s="396" t="s">
        <v>15</v>
      </c>
      <c r="G117" s="403" t="s">
        <v>15</v>
      </c>
      <c r="H117" s="74">
        <v>0</v>
      </c>
      <c r="I117" s="74">
        <v>0</v>
      </c>
      <c r="J117" s="74">
        <v>0</v>
      </c>
      <c r="K117" s="72"/>
      <c r="L117" s="72"/>
      <c r="M117" s="72"/>
      <c r="N117" s="71"/>
      <c r="O117" s="71"/>
      <c r="P117" s="71">
        <f t="shared" si="8"/>
        <v>0</v>
      </c>
      <c r="Q117" s="348">
        <f t="shared" si="9"/>
        <v>0</v>
      </c>
      <c r="R117" s="401"/>
    </row>
    <row r="118" spans="1:18" ht="70.5" hidden="1" customHeight="1" x14ac:dyDescent="0.25">
      <c r="A118" s="400"/>
      <c r="B118" s="401"/>
      <c r="C118" s="98" t="s">
        <v>474</v>
      </c>
      <c r="D118" s="396">
        <v>956</v>
      </c>
      <c r="E118" s="396" t="s">
        <v>475</v>
      </c>
      <c r="F118" s="396" t="s">
        <v>15</v>
      </c>
      <c r="G118" s="403" t="s">
        <v>15</v>
      </c>
      <c r="H118" s="74">
        <v>0</v>
      </c>
      <c r="I118" s="74">
        <v>0</v>
      </c>
      <c r="J118" s="74">
        <v>0</v>
      </c>
      <c r="K118" s="72"/>
      <c r="L118" s="72"/>
      <c r="M118" s="72"/>
      <c r="N118" s="71"/>
      <c r="O118" s="71"/>
      <c r="P118" s="71">
        <f t="shared" si="8"/>
        <v>0</v>
      </c>
      <c r="Q118" s="348">
        <f t="shared" si="9"/>
        <v>0</v>
      </c>
      <c r="R118" s="401"/>
    </row>
    <row r="119" spans="1:18" ht="66" customHeight="1" x14ac:dyDescent="0.25">
      <c r="A119" s="404" t="s">
        <v>470</v>
      </c>
      <c r="B119" s="98" t="s">
        <v>476</v>
      </c>
      <c r="C119" s="98" t="s">
        <v>477</v>
      </c>
      <c r="D119" s="396" t="s">
        <v>18</v>
      </c>
      <c r="E119" s="396" t="s">
        <v>317</v>
      </c>
      <c r="F119" s="396" t="s">
        <v>468</v>
      </c>
      <c r="G119" s="405" t="s">
        <v>478</v>
      </c>
      <c r="H119" s="71">
        <v>114.4</v>
      </c>
      <c r="I119" s="71">
        <v>166.8</v>
      </c>
      <c r="J119" s="71">
        <v>0</v>
      </c>
      <c r="K119" s="397"/>
      <c r="L119" s="397"/>
      <c r="M119" s="397"/>
      <c r="N119" s="398"/>
      <c r="O119" s="398"/>
      <c r="P119" s="71">
        <f t="shared" si="8"/>
        <v>0</v>
      </c>
      <c r="Q119" s="348">
        <f t="shared" si="9"/>
        <v>281.20000000000005</v>
      </c>
      <c r="R119" s="98" t="s">
        <v>479</v>
      </c>
    </row>
    <row r="120" spans="1:18" ht="50.45" customHeight="1" x14ac:dyDescent="0.25">
      <c r="A120" s="404" t="s">
        <v>480</v>
      </c>
      <c r="B120" s="98" t="s">
        <v>481</v>
      </c>
      <c r="C120" s="98" t="s">
        <v>17</v>
      </c>
      <c r="D120" s="396" t="s">
        <v>18</v>
      </c>
      <c r="E120" s="396" t="s">
        <v>354</v>
      </c>
      <c r="F120" s="396" t="s">
        <v>482</v>
      </c>
      <c r="G120" s="406">
        <v>612</v>
      </c>
      <c r="H120" s="71">
        <v>5</v>
      </c>
      <c r="I120" s="71"/>
      <c r="J120" s="72"/>
      <c r="K120" s="72"/>
      <c r="L120" s="71"/>
      <c r="M120" s="72"/>
      <c r="N120" s="71"/>
      <c r="O120" s="71"/>
      <c r="P120" s="71">
        <f t="shared" si="8"/>
        <v>0</v>
      </c>
      <c r="Q120" s="348">
        <f t="shared" si="9"/>
        <v>5</v>
      </c>
      <c r="R120" s="407"/>
    </row>
    <row r="121" spans="1:18" ht="50.45" customHeight="1" x14ac:dyDescent="0.25">
      <c r="A121" s="408" t="s">
        <v>483</v>
      </c>
      <c r="B121" s="409" t="s">
        <v>484</v>
      </c>
      <c r="C121" s="409" t="s">
        <v>485</v>
      </c>
      <c r="D121" s="410" t="s">
        <v>18</v>
      </c>
      <c r="E121" s="410" t="s">
        <v>372</v>
      </c>
      <c r="F121" s="411" t="s">
        <v>486</v>
      </c>
      <c r="G121" s="412">
        <v>611</v>
      </c>
      <c r="H121" s="413"/>
      <c r="I121" s="413"/>
      <c r="J121" s="413"/>
      <c r="K121" s="413"/>
      <c r="L121" s="413"/>
      <c r="M121" s="413"/>
      <c r="N121" s="413">
        <v>7106.1</v>
      </c>
      <c r="O121" s="413"/>
      <c r="P121" s="413"/>
      <c r="Q121" s="414"/>
      <c r="R121" s="415" t="s">
        <v>487</v>
      </c>
    </row>
    <row r="122" spans="1:18" ht="50.45" customHeight="1" x14ac:dyDescent="0.25">
      <c r="A122" s="416"/>
      <c r="B122" s="417"/>
      <c r="C122" s="418"/>
      <c r="D122" s="410" t="s">
        <v>18</v>
      </c>
      <c r="E122" s="410" t="s">
        <v>372</v>
      </c>
      <c r="F122" s="411" t="s">
        <v>486</v>
      </c>
      <c r="G122" s="412">
        <v>633</v>
      </c>
      <c r="H122" s="413"/>
      <c r="I122" s="413"/>
      <c r="J122" s="413"/>
      <c r="K122" s="413"/>
      <c r="L122" s="413"/>
      <c r="M122" s="413"/>
      <c r="N122" s="413">
        <v>208.4</v>
      </c>
      <c r="O122" s="413"/>
      <c r="P122" s="413"/>
      <c r="Q122" s="414"/>
      <c r="R122" s="419"/>
    </row>
    <row r="123" spans="1:18" ht="97.9" customHeight="1" x14ac:dyDescent="0.25">
      <c r="A123" s="420"/>
      <c r="B123" s="418"/>
      <c r="C123" s="421" t="s">
        <v>488</v>
      </c>
      <c r="D123" s="410" t="s">
        <v>489</v>
      </c>
      <c r="E123" s="410" t="s">
        <v>372</v>
      </c>
      <c r="F123" s="411" t="s">
        <v>486</v>
      </c>
      <c r="G123" s="412">
        <v>611</v>
      </c>
      <c r="H123" s="413"/>
      <c r="I123" s="413"/>
      <c r="J123" s="413"/>
      <c r="K123" s="413"/>
      <c r="L123" s="413"/>
      <c r="M123" s="413"/>
      <c r="N123" s="413">
        <v>573.1</v>
      </c>
      <c r="O123" s="413"/>
      <c r="P123" s="413"/>
      <c r="Q123" s="414"/>
      <c r="R123" s="422"/>
    </row>
    <row r="124" spans="1:18" ht="35.1" customHeight="1" x14ac:dyDescent="0.3">
      <c r="A124" s="423" t="s">
        <v>490</v>
      </c>
      <c r="B124" s="423"/>
      <c r="C124" s="424"/>
      <c r="D124" s="424"/>
      <c r="E124" s="424"/>
      <c r="F124" s="424"/>
      <c r="G124" s="424"/>
      <c r="H124" s="425">
        <f t="shared" ref="H124:M124" si="10">SUM(H99:H120)</f>
        <v>24540.200000000004</v>
      </c>
      <c r="I124" s="425">
        <f t="shared" si="10"/>
        <v>27318.799999999996</v>
      </c>
      <c r="J124" s="426">
        <f t="shared" si="10"/>
        <v>37615.9</v>
      </c>
      <c r="K124" s="426">
        <f t="shared" si="10"/>
        <v>34566.200000000004</v>
      </c>
      <c r="L124" s="426">
        <f t="shared" si="10"/>
        <v>32389.600000000002</v>
      </c>
      <c r="M124" s="426">
        <f t="shared" si="10"/>
        <v>33657</v>
      </c>
      <c r="N124" s="425">
        <f>SUM(N99:N123)</f>
        <v>34624.700000000004</v>
      </c>
      <c r="O124" s="425">
        <f>SUM(O99:O120)</f>
        <v>32208.2</v>
      </c>
      <c r="P124" s="425">
        <f>SUM(P99:P120)</f>
        <v>32208.2</v>
      </c>
      <c r="Q124" s="348">
        <f>SUM(H124:P124)</f>
        <v>289128.80000000005</v>
      </c>
      <c r="R124" s="427"/>
    </row>
    <row r="125" spans="1:18" s="430" customFormat="1" ht="35.1" customHeight="1" x14ac:dyDescent="0.3">
      <c r="A125" s="423" t="s">
        <v>491</v>
      </c>
      <c r="B125" s="423"/>
      <c r="C125" s="428"/>
      <c r="D125" s="428"/>
      <c r="E125" s="428"/>
      <c r="F125" s="428"/>
      <c r="G125" s="428"/>
      <c r="H125" s="426">
        <f t="shared" ref="H125:P125" si="11">H124+H97+H46</f>
        <v>214621.90000000005</v>
      </c>
      <c r="I125" s="426">
        <f t="shared" si="11"/>
        <v>231479.1</v>
      </c>
      <c r="J125" s="426">
        <f t="shared" si="11"/>
        <v>252889.60000000001</v>
      </c>
      <c r="K125" s="426">
        <f t="shared" si="11"/>
        <v>262736.60000000003</v>
      </c>
      <c r="L125" s="426">
        <f t="shared" si="11"/>
        <v>275850</v>
      </c>
      <c r="M125" s="426">
        <f t="shared" si="11"/>
        <v>294091.1999999999</v>
      </c>
      <c r="N125" s="425">
        <f>N124+N97+N46</f>
        <v>286491.5</v>
      </c>
      <c r="O125" s="425">
        <f t="shared" si="11"/>
        <v>283515.90000000002</v>
      </c>
      <c r="P125" s="425">
        <f t="shared" si="11"/>
        <v>281762.8</v>
      </c>
      <c r="Q125" s="348">
        <f>SUM(H125:P125)</f>
        <v>2383438.6</v>
      </c>
      <c r="R125" s="429"/>
    </row>
    <row r="126" spans="1:18" s="430" customFormat="1" ht="35.1" customHeight="1" x14ac:dyDescent="0.3">
      <c r="A126" s="423" t="s">
        <v>322</v>
      </c>
      <c r="B126" s="423"/>
      <c r="C126" s="428"/>
      <c r="D126" s="428"/>
      <c r="E126" s="428"/>
      <c r="F126" s="428"/>
      <c r="G126" s="428"/>
      <c r="H126" s="426">
        <f>H7+H11+H12+H20+H21+H26+H28+H68+H69+H70+H72+H73+H75+H77+H78+H79+H80+H82+H88+H89</f>
        <v>109406.90000000001</v>
      </c>
      <c r="I126" s="426">
        <f>I7+I11+I12+I20+I21+I26+I28+I68+I69+I70+I72+I73+I75+I77+I78+I79+I80+I82+I88+I89</f>
        <v>113565.79999999999</v>
      </c>
      <c r="J126" s="426">
        <f>J7+J11+J12+J20+J21+J24+J25+J26+J28+J68+J69+J70+J72+J73+J75+J77+J78+J79+J80+J82+J88+J89</f>
        <v>149314.1</v>
      </c>
      <c r="K126" s="426">
        <f>K7+K11+K12+K20+K21+K26+K28+K68+K69+K70+K72+K73+K75+K77+K78+K79+K80+K81+K82+K88+K89+K76</f>
        <v>163921.20000000001</v>
      </c>
      <c r="L126" s="426">
        <f>L7+L11+L12+L20+L21+L26+L28+L68+L69+L70+L72+L73+L75+L77+L78+L79+L80+L81+L82+L88+L89+L105+L104+L87+L84+L83+L107+L17</f>
        <v>178896.09999999998</v>
      </c>
      <c r="M126" s="426">
        <f>M7+M11+M12+M20+M21+M26+M28+M68+M69+M70+M72+M73+M75+M77+M78+M79+M80+M81+M82+M88+M89+M71+M74+M104+M15+M17+M110+M105+M83+M84+M85+M86+M109</f>
        <v>189252.89999999994</v>
      </c>
      <c r="N126" s="425">
        <f>N7+N11+N12+N20+N21+N26+N28+N68+N69+N70+N72+N73+N75+N77+N78+N79+N80+N81+N82+N88+N89+N83+N84+N35+N36+N71+N74+N104+N105+N39+N43+N106+N67+N66+N65+N41+N23+N22+N45</f>
        <v>205406.29999999996</v>
      </c>
      <c r="O126" s="425">
        <f>O7+O11+O12+O20+O21+O26+O28+O68+O69+O70+O72+O73+O75+O77+O78+O79+O80+O81+O82+O88+O89+O83+O84+O35+O36+O71+O74+O104+O105+O39+O43+O106+O67+O66+O65+O41+O23+O22+O31+O32</f>
        <v>207397.90000000002</v>
      </c>
      <c r="P126" s="425">
        <f>P7+P11+P12+P20+P21+P26+P28+P68+P69+P70+P72+P73+P75+P77+P78+P79+P80+P81+P82+P88+P89+P83+P84+P35+P36+P71+P74+P104+P105+P39+P43+P106+P67+P66+P65+P41+P23+P22+P31+P32</f>
        <v>205658.6</v>
      </c>
      <c r="Q126" s="348">
        <f>SUM(H126:P126)</f>
        <v>1522819.7999999998</v>
      </c>
      <c r="R126" s="429"/>
    </row>
    <row r="127" spans="1:18" s="430" customFormat="1" ht="35.1" customHeight="1" x14ac:dyDescent="0.3">
      <c r="A127" s="423" t="s">
        <v>323</v>
      </c>
      <c r="B127" s="423"/>
      <c r="C127" s="428"/>
      <c r="D127" s="428"/>
      <c r="E127" s="428"/>
      <c r="F127" s="428"/>
      <c r="G127" s="428"/>
      <c r="H127" s="426">
        <f>H8+H9+H13+H14+H27+H29+H30+H48+H49+H50+H51+H52+H53+H54+H55+H56+H57+H58+H59+H60+H61+H62+H63+H64+H95+H99+H100+H101+H102+H103+H119+H120+H113+H114+H115+H112</f>
        <v>103390.39999999999</v>
      </c>
      <c r="I127" s="426">
        <f>I8+I9+I13+I14+I27+I29+I30+I48+I49+I50+I51+I52+I53+I54+I55+I56+I57+I58+I59+I60+I61+I62+I63+I64+I95+I99+I100+I101+I102+I103+I119+I120+I113+I114+I115+I112</f>
        <v>115762.00000000001</v>
      </c>
      <c r="J127" s="426">
        <f>J8+J9+J13+J14+J27+J29+J30+J48+J49+J50+J51+J52+J53+J54+J55+J56+J57+J58+J59+J60+J61+J62+J63+J64+J95+J99+J100+J101+J102+J103+J119+J120+J113+J114+J115+J112</f>
        <v>101282.7</v>
      </c>
      <c r="K127" s="426">
        <f>K8+K9+K13+K14+K27+K29+K30+K48+K49+K50+K51+K52+K53+K54+K55+K56+K57+K58+K59+K60+K61+K62+K63+K64+K95+K99+K100+K101+K102+K103+K119+K120+K113+K114+K115+K112+K93</f>
        <v>96522.60000000002</v>
      </c>
      <c r="L127" s="426">
        <f>L8+L9+L13+L14+L27+L29+L30+L48+L49+L50+L51+L52+L53+L54+L55+L56+L57+L58+L59+L60+L61+L62+L63+L64+L95+L99+L100+L101+L102+L103+L119+L120+L113+L114+L115+L112+L93+L18+L108+L10</f>
        <v>93843.599999999991</v>
      </c>
      <c r="M127" s="426">
        <f>M8+M9+M13+M14+M27+M29+M30+M48+M49+M50+M51+M52+M53+M54+M55+M56+M57+M58+M59+M60+M61+M62+M63+M64+M95+M99+M100+M101+M102+M103+M119+M120+M113+M114+M115+M112+M93+M16+M18+M19</f>
        <v>99156.3</v>
      </c>
      <c r="N127" s="425">
        <f>N8+N9+N13+N14+N27+N29+N30+N48+N49+N50+N51+N52+N53+N54+N55+N56+N57+N58+N59+N60+N61+N62+N63+N64+N95+N99+N100+N101+N102+N103+N119+N120+N113+N114+N115+N112+N93+N37+N38+N40+N42+N44+N121+N123+N122</f>
        <v>73934.7</v>
      </c>
      <c r="O127" s="425">
        <f>O8+O9+O13+O14+O27+O29+O30+O48+O49+O50+O51+O52+O53+O54+O55+O56+O57+O58+O59+O60+O61+O62+O63+O64+O95+O99+O100+O101+O102+O103+O119+O120+O113+O114+O115+O112+O93+O37+O38+O40+O42+O44+O33+O34</f>
        <v>72679</v>
      </c>
      <c r="P127" s="425">
        <f>P8+P9+P13+P14+P27+P29+P30+P48+P49+P50+P51+P52+P53+P54+P55+P56+P57+P58+P59+P60+P61+P62+P63+P64+P95+P99+P100+P101+P102+P103+P119+P120+P113+P114+P115+P112+P93+P37+P38+P40+P42+P44+P33</f>
        <v>72665.2</v>
      </c>
      <c r="Q127" s="348">
        <f>SUM(H127:P127)</f>
        <v>829236.5</v>
      </c>
      <c r="R127" s="429"/>
    </row>
    <row r="128" spans="1:18" s="430" customFormat="1" ht="25.15" customHeight="1" x14ac:dyDescent="0.3">
      <c r="A128" s="423" t="s">
        <v>324</v>
      </c>
      <c r="B128" s="423"/>
      <c r="C128" s="431"/>
      <c r="D128" s="428"/>
      <c r="E128" s="428"/>
      <c r="F128" s="428"/>
      <c r="G128" s="428"/>
      <c r="H128" s="425">
        <f t="shared" ref="H128:M128" si="12">H90+H111</f>
        <v>1824.6</v>
      </c>
      <c r="I128" s="425">
        <f t="shared" si="12"/>
        <v>2151.3000000000002</v>
      </c>
      <c r="J128" s="426">
        <f t="shared" si="12"/>
        <v>2292.8000000000002</v>
      </c>
      <c r="K128" s="426">
        <f>K90+K111</f>
        <v>2292.8000000000002</v>
      </c>
      <c r="L128" s="426">
        <f>L90+L111</f>
        <v>3110.3</v>
      </c>
      <c r="M128" s="426">
        <f t="shared" si="12"/>
        <v>5682</v>
      </c>
      <c r="N128" s="425">
        <f>N90+N111</f>
        <v>7150.5</v>
      </c>
      <c r="O128" s="425">
        <f>O90+O111</f>
        <v>3439</v>
      </c>
      <c r="P128" s="71">
        <f t="shared" si="8"/>
        <v>3439</v>
      </c>
      <c r="Q128" s="348">
        <f>SUM(H128:P128)</f>
        <v>31382.3</v>
      </c>
      <c r="R128" s="429"/>
    </row>
    <row r="129" spans="1:18" ht="26.45" customHeight="1" x14ac:dyDescent="0.3">
      <c r="A129" s="432" t="s">
        <v>492</v>
      </c>
      <c r="B129" s="432"/>
      <c r="C129" s="432"/>
      <c r="D129" s="433"/>
      <c r="E129" s="433"/>
      <c r="F129" s="433"/>
      <c r="G129" s="433"/>
      <c r="H129" s="434"/>
      <c r="I129" s="434"/>
      <c r="J129" s="434"/>
      <c r="K129" s="434"/>
      <c r="L129" s="434"/>
      <c r="M129" s="434"/>
      <c r="N129" s="435"/>
      <c r="O129" s="435"/>
      <c r="P129" s="435"/>
      <c r="Q129" s="434"/>
      <c r="R129" s="436" t="s">
        <v>34</v>
      </c>
    </row>
    <row r="130" spans="1:18" ht="59.25" customHeight="1" x14ac:dyDescent="0.25">
      <c r="A130" s="314"/>
      <c r="B130" s="437"/>
      <c r="C130" s="316"/>
      <c r="D130" s="316"/>
      <c r="E130" s="316"/>
      <c r="F130" s="316"/>
      <c r="G130" s="316"/>
      <c r="H130" s="316"/>
    </row>
    <row r="131" spans="1:18" s="152" customFormat="1" ht="24.75" customHeight="1" x14ac:dyDescent="0.25">
      <c r="A131" s="314"/>
      <c r="B131" s="437"/>
      <c r="C131" s="316"/>
      <c r="D131" s="316"/>
      <c r="E131" s="316"/>
      <c r="F131" s="316"/>
      <c r="G131" s="316"/>
      <c r="H131" s="316"/>
      <c r="I131" s="53"/>
      <c r="J131" s="53"/>
      <c r="K131" s="53"/>
      <c r="L131" s="53"/>
      <c r="M131" s="53"/>
      <c r="N131" s="81"/>
      <c r="O131" s="81"/>
      <c r="P131" s="81"/>
      <c r="Q131" s="53"/>
      <c r="R131" s="53"/>
    </row>
    <row r="132" spans="1:18" ht="20.25" customHeight="1" x14ac:dyDescent="0.25">
      <c r="A132" s="314"/>
      <c r="B132" s="437"/>
      <c r="C132" s="316"/>
      <c r="D132" s="316"/>
      <c r="E132" s="316"/>
      <c r="F132" s="316"/>
      <c r="G132" s="316"/>
      <c r="H132" s="316"/>
    </row>
    <row r="133" spans="1:18" s="307" customFormat="1" x14ac:dyDescent="0.25">
      <c r="A133" s="314"/>
      <c r="B133" s="437"/>
      <c r="C133" s="316"/>
      <c r="D133" s="316"/>
      <c r="E133" s="316"/>
      <c r="F133" s="316"/>
      <c r="G133" s="316"/>
      <c r="H133" s="316"/>
      <c r="I133" s="53"/>
      <c r="J133" s="53"/>
      <c r="K133" s="53"/>
      <c r="L133" s="53"/>
      <c r="M133" s="53"/>
      <c r="N133" s="81"/>
      <c r="O133" s="81"/>
      <c r="P133" s="81"/>
      <c r="Q133" s="53"/>
      <c r="R133" s="53"/>
    </row>
    <row r="134" spans="1:18" s="202" customFormat="1" x14ac:dyDescent="0.25">
      <c r="A134" s="314"/>
      <c r="B134" s="437"/>
      <c r="C134" s="316"/>
      <c r="D134" s="316"/>
      <c r="E134" s="316"/>
      <c r="F134" s="316"/>
      <c r="G134" s="316"/>
      <c r="H134" s="316"/>
      <c r="I134" s="53"/>
      <c r="J134" s="53"/>
      <c r="K134" s="53"/>
      <c r="L134" s="53"/>
      <c r="M134" s="53"/>
      <c r="N134" s="81"/>
      <c r="O134" s="81"/>
      <c r="P134" s="81"/>
      <c r="Q134" s="53"/>
      <c r="R134" s="53"/>
    </row>
    <row r="135" spans="1:18" x14ac:dyDescent="0.25">
      <c r="A135" s="314"/>
      <c r="B135" s="437"/>
      <c r="C135" s="316"/>
      <c r="D135" s="316"/>
      <c r="E135" s="316"/>
      <c r="F135" s="316"/>
      <c r="G135" s="316"/>
      <c r="H135" s="316"/>
    </row>
    <row r="136" spans="1:18" x14ac:dyDescent="0.25">
      <c r="A136" s="314"/>
      <c r="B136" s="437"/>
      <c r="C136" s="316"/>
      <c r="D136" s="316"/>
      <c r="E136" s="316"/>
      <c r="F136" s="316"/>
      <c r="G136" s="316"/>
      <c r="H136" s="316"/>
    </row>
    <row r="137" spans="1:18" x14ac:dyDescent="0.25">
      <c r="A137" s="314"/>
      <c r="B137" s="437"/>
      <c r="C137" s="316"/>
      <c r="D137" s="316"/>
      <c r="E137" s="316"/>
      <c r="F137" s="316"/>
      <c r="G137" s="316"/>
      <c r="H137" s="316"/>
    </row>
    <row r="138" spans="1:18" x14ac:dyDescent="0.25">
      <c r="A138" s="314"/>
      <c r="B138" s="437"/>
      <c r="C138" s="316"/>
      <c r="D138" s="316"/>
      <c r="E138" s="316"/>
      <c r="F138" s="316"/>
      <c r="G138" s="316"/>
      <c r="H138" s="316"/>
    </row>
    <row r="139" spans="1:18" x14ac:dyDescent="0.25">
      <c r="A139" s="314"/>
      <c r="B139" s="437"/>
      <c r="C139" s="316"/>
      <c r="D139" s="316"/>
      <c r="E139" s="316"/>
      <c r="F139" s="316"/>
      <c r="G139" s="316"/>
      <c r="H139" s="316"/>
    </row>
    <row r="140" spans="1:18" x14ac:dyDescent="0.25">
      <c r="A140" s="314"/>
      <c r="B140" s="437"/>
      <c r="C140" s="316"/>
      <c r="D140" s="316"/>
      <c r="E140" s="316"/>
      <c r="F140" s="316"/>
      <c r="G140" s="316"/>
      <c r="H140" s="316"/>
    </row>
    <row r="141" spans="1:18" x14ac:dyDescent="0.25">
      <c r="A141" s="314"/>
      <c r="B141" s="437"/>
      <c r="C141" s="316"/>
      <c r="D141" s="316"/>
      <c r="E141" s="316"/>
      <c r="F141" s="316"/>
      <c r="G141" s="316"/>
      <c r="H141" s="316"/>
    </row>
    <row r="142" spans="1:18" x14ac:dyDescent="0.25">
      <c r="A142" s="314"/>
      <c r="B142" s="437"/>
      <c r="C142" s="316"/>
      <c r="D142" s="316"/>
      <c r="E142" s="316"/>
      <c r="F142" s="316"/>
      <c r="G142" s="316"/>
      <c r="H142" s="316"/>
    </row>
    <row r="143" spans="1:18" x14ac:dyDescent="0.25">
      <c r="A143" s="314"/>
      <c r="B143" s="437"/>
      <c r="C143" s="316"/>
      <c r="D143" s="316"/>
      <c r="E143" s="316"/>
      <c r="F143" s="316"/>
      <c r="G143" s="316"/>
      <c r="H143" s="316"/>
    </row>
    <row r="144" spans="1:18" x14ac:dyDescent="0.25">
      <c r="A144" s="314"/>
      <c r="B144" s="437"/>
      <c r="C144" s="316"/>
      <c r="D144" s="316"/>
      <c r="E144" s="316"/>
      <c r="F144" s="316"/>
      <c r="G144" s="316"/>
      <c r="H144" s="316"/>
    </row>
    <row r="145" spans="1:8" x14ac:dyDescent="0.25">
      <c r="A145" s="314"/>
      <c r="B145" s="437"/>
      <c r="C145" s="316"/>
      <c r="D145" s="316"/>
      <c r="E145" s="316"/>
      <c r="F145" s="316"/>
      <c r="G145" s="316"/>
      <c r="H145" s="316"/>
    </row>
    <row r="146" spans="1:8" x14ac:dyDescent="0.25">
      <c r="A146" s="314"/>
      <c r="B146" s="437"/>
      <c r="C146" s="316"/>
      <c r="D146" s="316"/>
      <c r="E146" s="316"/>
      <c r="F146" s="316"/>
      <c r="G146" s="316"/>
      <c r="H146" s="316"/>
    </row>
    <row r="147" spans="1:8" x14ac:dyDescent="0.25">
      <c r="A147" s="314"/>
      <c r="B147" s="437"/>
      <c r="C147" s="316"/>
      <c r="D147" s="316"/>
      <c r="E147" s="316"/>
      <c r="F147" s="316"/>
      <c r="G147" s="316"/>
      <c r="H147" s="316"/>
    </row>
    <row r="148" spans="1:8" x14ac:dyDescent="0.25">
      <c r="A148" s="314"/>
      <c r="B148" s="437"/>
      <c r="C148" s="316"/>
      <c r="D148" s="316"/>
      <c r="E148" s="316"/>
      <c r="F148" s="316"/>
      <c r="G148" s="316"/>
      <c r="H148" s="316"/>
    </row>
    <row r="149" spans="1:8" x14ac:dyDescent="0.25">
      <c r="A149" s="314"/>
      <c r="B149" s="437"/>
      <c r="C149" s="316"/>
      <c r="D149" s="316"/>
      <c r="E149" s="316"/>
      <c r="F149" s="316"/>
      <c r="G149" s="316"/>
      <c r="H149" s="316"/>
    </row>
    <row r="150" spans="1:8" x14ac:dyDescent="0.25">
      <c r="A150" s="314"/>
      <c r="B150" s="437"/>
      <c r="C150" s="316"/>
      <c r="D150" s="316"/>
      <c r="E150" s="316"/>
      <c r="F150" s="316"/>
      <c r="G150" s="316"/>
      <c r="H150" s="316"/>
    </row>
    <row r="151" spans="1:8" x14ac:dyDescent="0.25">
      <c r="A151" s="314"/>
      <c r="B151" s="437"/>
      <c r="C151" s="316"/>
      <c r="D151" s="316"/>
      <c r="E151" s="316"/>
      <c r="F151" s="316"/>
      <c r="G151" s="316"/>
      <c r="H151" s="316"/>
    </row>
    <row r="152" spans="1:8" x14ac:dyDescent="0.25">
      <c r="A152" s="314"/>
      <c r="B152" s="437"/>
      <c r="C152" s="316"/>
      <c r="D152" s="316"/>
      <c r="E152" s="316"/>
      <c r="F152" s="316"/>
      <c r="G152" s="316"/>
      <c r="H152" s="316"/>
    </row>
    <row r="153" spans="1:8" x14ac:dyDescent="0.25">
      <c r="A153" s="314"/>
      <c r="B153" s="437"/>
      <c r="C153" s="316"/>
      <c r="D153" s="316"/>
      <c r="E153" s="316"/>
      <c r="F153" s="316"/>
      <c r="G153" s="316"/>
      <c r="H153" s="316"/>
    </row>
    <row r="154" spans="1:8" x14ac:dyDescent="0.25">
      <c r="A154" s="314"/>
      <c r="B154" s="437"/>
      <c r="C154" s="316"/>
      <c r="D154" s="316"/>
      <c r="E154" s="316"/>
      <c r="F154" s="316"/>
      <c r="G154" s="316"/>
      <c r="H154" s="316"/>
    </row>
    <row r="155" spans="1:8" x14ac:dyDescent="0.25">
      <c r="A155" s="314"/>
      <c r="B155" s="437"/>
      <c r="C155" s="316"/>
      <c r="D155" s="316"/>
      <c r="E155" s="316"/>
      <c r="F155" s="316"/>
      <c r="G155" s="316"/>
      <c r="H155" s="316"/>
    </row>
    <row r="156" spans="1:8" x14ac:dyDescent="0.25">
      <c r="A156" s="314"/>
      <c r="B156" s="437"/>
      <c r="C156" s="316"/>
      <c r="D156" s="316"/>
      <c r="E156" s="316"/>
      <c r="F156" s="316"/>
      <c r="G156" s="316"/>
      <c r="H156" s="316"/>
    </row>
    <row r="157" spans="1:8" x14ac:dyDescent="0.25">
      <c r="A157" s="314"/>
      <c r="B157" s="437"/>
      <c r="C157" s="316"/>
      <c r="D157" s="316"/>
      <c r="E157" s="316"/>
      <c r="F157" s="316"/>
      <c r="G157" s="316"/>
      <c r="H157" s="316"/>
    </row>
    <row r="158" spans="1:8" x14ac:dyDescent="0.25">
      <c r="A158" s="314"/>
      <c r="B158" s="437"/>
      <c r="C158" s="316"/>
      <c r="D158" s="316"/>
      <c r="E158" s="316"/>
      <c r="F158" s="316"/>
      <c r="G158" s="316"/>
      <c r="H158" s="316"/>
    </row>
    <row r="159" spans="1:8" x14ac:dyDescent="0.25">
      <c r="A159" s="314"/>
      <c r="B159" s="437"/>
      <c r="C159" s="316"/>
      <c r="D159" s="316"/>
      <c r="E159" s="316"/>
      <c r="F159" s="316"/>
      <c r="G159" s="316"/>
      <c r="H159" s="316"/>
    </row>
    <row r="160" spans="1:8" x14ac:dyDescent="0.25">
      <c r="A160" s="314"/>
      <c r="B160" s="437"/>
      <c r="C160" s="316"/>
      <c r="D160" s="316"/>
      <c r="E160" s="316"/>
      <c r="F160" s="316"/>
      <c r="G160" s="316"/>
      <c r="H160" s="316"/>
    </row>
    <row r="161" spans="1:8" x14ac:dyDescent="0.25">
      <c r="A161" s="314"/>
      <c r="B161" s="437"/>
      <c r="C161" s="316"/>
      <c r="D161" s="316"/>
      <c r="E161" s="316"/>
      <c r="F161" s="316"/>
      <c r="G161" s="316"/>
      <c r="H161" s="316"/>
    </row>
    <row r="162" spans="1:8" x14ac:dyDescent="0.25">
      <c r="A162" s="314"/>
      <c r="B162" s="437"/>
      <c r="C162" s="316"/>
      <c r="D162" s="316"/>
      <c r="E162" s="316"/>
      <c r="F162" s="316"/>
      <c r="G162" s="316"/>
      <c r="H162" s="316"/>
    </row>
    <row r="163" spans="1:8" x14ac:dyDescent="0.25">
      <c r="A163" s="314"/>
      <c r="B163" s="437"/>
      <c r="C163" s="316"/>
      <c r="D163" s="316"/>
      <c r="E163" s="316"/>
      <c r="F163" s="316"/>
      <c r="G163" s="316"/>
      <c r="H163" s="316"/>
    </row>
    <row r="164" spans="1:8" x14ac:dyDescent="0.25">
      <c r="A164" s="314"/>
      <c r="B164" s="437"/>
      <c r="C164" s="316"/>
      <c r="D164" s="316"/>
      <c r="E164" s="316"/>
      <c r="F164" s="316"/>
      <c r="G164" s="316"/>
      <c r="H164" s="316"/>
    </row>
    <row r="165" spans="1:8" x14ac:dyDescent="0.25">
      <c r="A165" s="314"/>
      <c r="B165" s="437"/>
      <c r="C165" s="316"/>
      <c r="D165" s="316"/>
      <c r="E165" s="316"/>
      <c r="F165" s="316"/>
      <c r="G165" s="316"/>
      <c r="H165" s="316"/>
    </row>
    <row r="166" spans="1:8" x14ac:dyDescent="0.25">
      <c r="A166" s="314"/>
      <c r="B166" s="437"/>
      <c r="C166" s="316"/>
      <c r="D166" s="316"/>
      <c r="E166" s="316"/>
      <c r="F166" s="316"/>
      <c r="G166" s="316"/>
      <c r="H166" s="316"/>
    </row>
  </sheetData>
  <mergeCells count="76">
    <mergeCell ref="A124:B124"/>
    <mergeCell ref="A125:B125"/>
    <mergeCell ref="A126:B126"/>
    <mergeCell ref="A127:B127"/>
    <mergeCell ref="A128:B128"/>
    <mergeCell ref="A129:C129"/>
    <mergeCell ref="A116:A118"/>
    <mergeCell ref="B116:B118"/>
    <mergeCell ref="R116:R118"/>
    <mergeCell ref="A121:A123"/>
    <mergeCell ref="B121:B123"/>
    <mergeCell ref="C121:C122"/>
    <mergeCell ref="R121:R123"/>
    <mergeCell ref="R99:R111"/>
    <mergeCell ref="A112:A113"/>
    <mergeCell ref="B112:B113"/>
    <mergeCell ref="C112:C113"/>
    <mergeCell ref="R112:R113"/>
    <mergeCell ref="A114:A115"/>
    <mergeCell ref="B114:B115"/>
    <mergeCell ref="C114:C115"/>
    <mergeCell ref="R114:R115"/>
    <mergeCell ref="B68:B89"/>
    <mergeCell ref="C68:C89"/>
    <mergeCell ref="A97:B97"/>
    <mergeCell ref="A99:A111"/>
    <mergeCell ref="B99:B110"/>
    <mergeCell ref="C99:C111"/>
    <mergeCell ref="A39:A40"/>
    <mergeCell ref="C39:C40"/>
    <mergeCell ref="A41:A42"/>
    <mergeCell ref="A46:B46"/>
    <mergeCell ref="A47:R47"/>
    <mergeCell ref="A48:A64"/>
    <mergeCell ref="B48:B64"/>
    <mergeCell ref="C48:C64"/>
    <mergeCell ref="R48:R90"/>
    <mergeCell ref="A68:A89"/>
    <mergeCell ref="A35:A36"/>
    <mergeCell ref="B35:B36"/>
    <mergeCell ref="C35:C36"/>
    <mergeCell ref="R35:R36"/>
    <mergeCell ref="A37:A38"/>
    <mergeCell ref="B37:B38"/>
    <mergeCell ref="C37:C38"/>
    <mergeCell ref="A31:A32"/>
    <mergeCell ref="B31:B32"/>
    <mergeCell ref="C31:C32"/>
    <mergeCell ref="R31:R32"/>
    <mergeCell ref="A33:A34"/>
    <mergeCell ref="B33:B34"/>
    <mergeCell ref="C33:C34"/>
    <mergeCell ref="A20:A25"/>
    <mergeCell ref="B20:B25"/>
    <mergeCell ref="C20:C25"/>
    <mergeCell ref="R20:R25"/>
    <mergeCell ref="R26:R27"/>
    <mergeCell ref="R28:R30"/>
    <mergeCell ref="A29:A30"/>
    <mergeCell ref="B29:B30"/>
    <mergeCell ref="C29:C30"/>
    <mergeCell ref="A5:R5"/>
    <mergeCell ref="A6:R6"/>
    <mergeCell ref="A8:A14"/>
    <mergeCell ref="B8:B19"/>
    <mergeCell ref="C8:C19"/>
    <mergeCell ref="R8:R19"/>
    <mergeCell ref="I1:J1"/>
    <mergeCell ref="O1:R1"/>
    <mergeCell ref="A2:Q2"/>
    <mergeCell ref="A3:A4"/>
    <mergeCell ref="B3:B4"/>
    <mergeCell ref="C3:C4"/>
    <mergeCell ref="D3:G3"/>
    <mergeCell ref="H3:Q3"/>
    <mergeCell ref="R3:R4"/>
  </mergeCells>
  <pageMargins left="0.51181102362204722" right="0.39370078740157483" top="0.55118110236220474" bottom="0.35433070866141736" header="0.31496062992125984" footer="0.31496062992125984"/>
  <pageSetup paperSize="9" scale="40" fitToHeight="8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21</vt:i4>
      </vt:variant>
    </vt:vector>
  </HeadingPairs>
  <TitlesOfParts>
    <vt:vector size="34" baseType="lpstr">
      <vt:lpstr>Прил1 к МП</vt:lpstr>
      <vt:lpstr>Прил2 к МП</vt:lpstr>
      <vt:lpstr>Прил3 к МП</vt:lpstr>
      <vt:lpstr>Прил1 к пасп МП</vt:lpstr>
      <vt:lpstr>Прил2 к пасп МП</vt:lpstr>
      <vt:lpstr>Прил1 к пасп подпр1</vt:lpstr>
      <vt:lpstr>Прил2 к пасп подпр1</vt:lpstr>
      <vt:lpstr>Прил1 к пасп подпр2</vt:lpstr>
      <vt:lpstr>Прил2 к пасп подпр2</vt:lpstr>
      <vt:lpstr>Прил1 к пасп подпр3</vt:lpstr>
      <vt:lpstr>Прил2 к пасп подпр3</vt:lpstr>
      <vt:lpstr>Прил1 к пасп подпр4</vt:lpstr>
      <vt:lpstr>Прил2 к пасп подпр4</vt:lpstr>
      <vt:lpstr>'Прил1 к пасп МП'!Заголовки_для_печати</vt:lpstr>
      <vt:lpstr>'Прил1 к пасп подпр1'!Заголовки_для_печати</vt:lpstr>
      <vt:lpstr>'Прил1 к пасп подпр2'!Заголовки_для_печати</vt:lpstr>
      <vt:lpstr>'Прил2 к МП'!Заголовки_для_печати</vt:lpstr>
      <vt:lpstr>'Прил2 к пасп МП'!Заголовки_для_печати</vt:lpstr>
      <vt:lpstr>'Прил2 к пасп подпр1'!Заголовки_для_печати</vt:lpstr>
      <vt:lpstr>'Прил2 к пасп подпр2'!Заголовки_для_печати</vt:lpstr>
      <vt:lpstr>'Прил2 к пасп подпр3'!Заголовки_для_печати</vt:lpstr>
      <vt:lpstr>'Прил2 к пасп подпр4'!Заголовки_для_печати</vt:lpstr>
      <vt:lpstr>'Прил3 к МП'!Заголовки_для_печати</vt:lpstr>
      <vt:lpstr>'Прил1 к пасп МП'!Область_печати</vt:lpstr>
      <vt:lpstr>'Прил1 к пасп подпр1'!Область_печати</vt:lpstr>
      <vt:lpstr>'Прил1 к пасп подпр2'!Область_печати</vt:lpstr>
      <vt:lpstr>'Прил1 к пасп подпр3'!Область_печати</vt:lpstr>
      <vt:lpstr>'Прил1 к пасп подпр4'!Область_печати</vt:lpstr>
      <vt:lpstr>'Прил2 к МП'!Область_печати</vt:lpstr>
      <vt:lpstr>'Прил2 к пасп МП'!Область_печати</vt:lpstr>
      <vt:lpstr>'Прил2 к пасп подпр2'!Область_печати</vt:lpstr>
      <vt:lpstr>'Прил2 к пасп подпр3'!Область_печати</vt:lpstr>
      <vt:lpstr>'Прил2 к пасп подпр4'!Область_печати</vt:lpstr>
      <vt:lpstr>'Прил3 к МП'!Область_печати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direktor</dc:creator>
  <cp:lastModifiedBy>direktor</cp:lastModifiedBy>
  <dcterms:created xsi:type="dcterms:W3CDTF">2020-06-24T14:14:54Z</dcterms:created>
  <dcterms:modified xsi:type="dcterms:W3CDTF">2020-06-24T14:28:37Z</dcterms:modified>
</cp:coreProperties>
</file>