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20-09-23 изм МП ГС 02.09\"/>
    </mc:Choice>
  </mc:AlternateContent>
  <bookViews>
    <workbookView xWindow="0" yWindow="0" windowWidth="28800" windowHeight="12330"/>
  </bookViews>
  <sheets>
    <sheet name="Прил1 к МП" sheetId="14" r:id="rId1"/>
    <sheet name="Прил2 к МП" sheetId="2" r:id="rId2"/>
    <sheet name="Прил3 к МП" sheetId="3" r:id="rId3"/>
    <sheet name="Прил1 к пасп МП" sheetId="4" r:id="rId4"/>
    <sheet name="Прил2 к пасп МП" sheetId="5" r:id="rId5"/>
    <sheet name="Прил1 пасп подпр1" sheetId="6" r:id="rId6"/>
    <sheet name="Прил2 к пасп подпр1" sheetId="7" r:id="rId7"/>
    <sheet name="Прил1 к пасп подпр2" sheetId="8" r:id="rId8"/>
    <sheet name="прил2 к пасп подпр2" sheetId="9" r:id="rId9"/>
    <sheet name="Прил1 к пасп подпр3" sheetId="10" r:id="rId10"/>
    <sheet name="Прил2 к пасп подпр3" sheetId="11" r:id="rId11"/>
    <sheet name="Прил1 к пасп подпр4" sheetId="12" r:id="rId12"/>
    <sheet name="Прил2 к пасп подпр4" sheetId="13" r:id="rId13"/>
  </sheets>
  <definedNames>
    <definedName name="_xlnm._FilterDatabase" localSheetId="6" hidden="1">'Прил2 к пасп подпр1'!$A$4:$V$53</definedName>
    <definedName name="_xlnm._FilterDatabase" localSheetId="8" hidden="1">'прил2 к пасп подпр2'!$A$1:$V$137</definedName>
    <definedName name="_xlnm._FilterDatabase" localSheetId="10" hidden="1">'Прил2 к пасп подпр3'!$A$4:$T$35</definedName>
    <definedName name="Z_2166B299_1DBB_4BE8_98C9_E9EFB21DCA26_.wvu.FilterData" localSheetId="6" hidden="1">'Прил2 к пасп подпр1'!$A$4:$V$53</definedName>
    <definedName name="Z_2166B299_1DBB_4BE8_98C9_E9EFB21DCA26_.wvu.FilterData" localSheetId="8" hidden="1">'прил2 к пасп подпр2'!$A$4:$V$137</definedName>
    <definedName name="Z_2166B299_1DBB_4BE8_98C9_E9EFB21DCA26_.wvu.FilterData" localSheetId="10" hidden="1">'Прил2 к пасп подпр3'!$A$4:$T$35</definedName>
    <definedName name="Z_2715DACA_7FC2_4162_875B_92B3FB82D8B1_.wvu.FilterData" localSheetId="6" hidden="1">'Прил2 к пасп подпр1'!$A$4:$V$53</definedName>
    <definedName name="Z_2715DACA_7FC2_4162_875B_92B3FB82D8B1_.wvu.FilterData" localSheetId="8" hidden="1">'прил2 к пасп подпр2'!$A$4:$V$137</definedName>
    <definedName name="Z_2715DACA_7FC2_4162_875B_92B3FB82D8B1_.wvu.FilterData" localSheetId="10" hidden="1">'Прил2 к пасп подпр3'!$A$4:$T$35</definedName>
    <definedName name="Z_29BFB567_1C85_481C_A8AF_8210D8E0792F_.wvu.FilterData" localSheetId="6" hidden="1">'Прил2 к пасп подпр1'!$A$4:$V$53</definedName>
    <definedName name="Z_29BFB567_1C85_481C_A8AF_8210D8E0792F_.wvu.FilterData" localSheetId="8" hidden="1">'прил2 к пасп подпр2'!$A$4:$V$137</definedName>
    <definedName name="Z_29BFB567_1C85_481C_A8AF_8210D8E0792F_.wvu.FilterData" localSheetId="10" hidden="1">'Прил2 к пасп подпр3'!$A$4:$T$35</definedName>
    <definedName name="Z_4767DD30_F6FB_4FF0_A429_8866A8232500_.wvu.Cols" localSheetId="3" hidden="1">'Прил1 к пасп МП'!$F:$F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5" hidden="1">'Прил1 пасп подпр1'!$D:$D</definedName>
    <definedName name="Z_4767DD30_F6FB_4FF0_A429_8866A8232500_.wvu.Cols" localSheetId="4" hidden="1">'Прил2 к пасп МП'!$D:$E</definedName>
    <definedName name="Z_4767DD30_F6FB_4FF0_A429_8866A8232500_.wvu.FilterData" localSheetId="6" hidden="1">'Прил2 к пасп подпр1'!$A$4:$V$53</definedName>
    <definedName name="Z_4767DD30_F6FB_4FF0_A429_8866A8232500_.wvu.FilterData" localSheetId="8" hidden="1">'прил2 к пасп подпр2'!$A$4:$V$137</definedName>
    <definedName name="Z_4767DD30_F6FB_4FF0_A429_8866A8232500_.wvu.FilterData" localSheetId="10" hidden="1">'Прил2 к пасп подпр3'!$A$4:$T$35</definedName>
    <definedName name="Z_4767DD30_F6FB_4FF0_A429_8866A8232500_.wvu.PrintArea" localSheetId="3" hidden="1">'Прил1 к пасп МП'!$A$1:$M$76</definedName>
    <definedName name="Z_4767DD30_F6FB_4FF0_A429_8866A8232500_.wvu.PrintArea" localSheetId="7" hidden="1">'Прил1 к пасп подпр2'!$A$1:$J$33</definedName>
    <definedName name="Z_4767DD30_F6FB_4FF0_A429_8866A8232500_.wvu.PrintArea" localSheetId="9" hidden="1">'Прил1 к пасп подпр3'!$A$1:$H$4</definedName>
    <definedName name="Z_4767DD30_F6FB_4FF0_A429_8866A8232500_.wvu.PrintArea" localSheetId="11" hidden="1">'Прил1 к пасп подпр4'!$A$1:$K$33</definedName>
    <definedName name="Z_4767DD30_F6FB_4FF0_A429_8866A8232500_.wvu.PrintArea" localSheetId="5" hidden="1">'Прил1 пасп подпр1'!$A$1:$J$13</definedName>
    <definedName name="Z_4767DD30_F6FB_4FF0_A429_8866A8232500_.wvu.PrintArea" localSheetId="1" hidden="1">'Прил2 к МП'!$A$1:$N$32</definedName>
    <definedName name="Z_4767DD30_F6FB_4FF0_A429_8866A8232500_.wvu.PrintArea" localSheetId="4" hidden="1">'Прил2 к пасп МП'!$A$1:$Q$10</definedName>
    <definedName name="Z_4767DD30_F6FB_4FF0_A429_8866A8232500_.wvu.PrintArea" localSheetId="6" hidden="1">'Прил2 к пасп подпр1'!$A$1:$S$59</definedName>
    <definedName name="Z_4767DD30_F6FB_4FF0_A429_8866A8232500_.wvu.PrintArea" localSheetId="8" hidden="1">'прил2 к пасп подпр2'!$A$1:$S$134</definedName>
    <definedName name="Z_4767DD30_F6FB_4FF0_A429_8866A8232500_.wvu.PrintArea" localSheetId="10" hidden="1">'Прил2 к пасп подпр3'!$A$1:$S$40</definedName>
    <definedName name="Z_4767DD30_F6FB_4FF0_A429_8866A8232500_.wvu.PrintArea" localSheetId="12" hidden="1">'Прил2 к пасп подпр4'!$A$1:$S$58</definedName>
    <definedName name="Z_4767DD30_F6FB_4FF0_A429_8866A8232500_.wvu.PrintArea" localSheetId="2" hidden="1">'Прил3 к МП'!$A$1:$O$15</definedName>
    <definedName name="Z_4767DD30_F6FB_4FF0_A429_8866A8232500_.wvu.PrintTitles" localSheetId="3" hidden="1">'Прил1 к пасп МП'!$3:$5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5" hidden="1">'Прил1 пасп подпр1'!$3:$5</definedName>
    <definedName name="Z_4767DD30_F6FB_4FF0_A429_8866A8232500_.wvu.PrintTitles" localSheetId="1" hidden="1">'Прил2 к МП'!$3:$4</definedName>
    <definedName name="Z_4767DD30_F6FB_4FF0_A429_8866A8232500_.wvu.PrintTitles" localSheetId="4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PrintTitles" localSheetId="2" hidden="1">'Прил3 к МП'!$3:$4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подпр2'!$96:$96,'прил2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подпр1'!$A$4:$V$53</definedName>
    <definedName name="Z_484BD7FD_1D3D_4528_954E_A98D5B59AC9C_.wvu.FilterData" localSheetId="8" hidden="1">'прил2 к пасп подпр2'!$A$4:$V$137</definedName>
    <definedName name="Z_484BD7FD_1D3D_4528_954E_A98D5B59AC9C_.wvu.FilterData" localSheetId="10" hidden="1">'Прил2 к пасп подпр3'!$A$4:$T$35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Cols" localSheetId="5" hidden="1">'Прил1 пасп подпр1'!$D:$D</definedName>
    <definedName name="Z_7C917F30_361A_4C86_9002_2134EAE2E3CF_.wvu.FilterData" localSheetId="6" hidden="1">'Прил2 к пасп подпр1'!$A$4:$V$53</definedName>
    <definedName name="Z_7C917F30_361A_4C86_9002_2134EAE2E3CF_.wvu.FilterData" localSheetId="8" hidden="1">'прил2 к пасп подпр2'!$A$4:$V$137</definedName>
    <definedName name="Z_7C917F30_361A_4C86_9002_2134EAE2E3CF_.wvu.FilterData" localSheetId="10" hidden="1">'Прил2 к пасп подпр3'!$A$4:$T$35</definedName>
    <definedName name="Z_7C917F30_361A_4C86_9002_2134EAE2E3CF_.wvu.PrintArea" localSheetId="7" hidden="1">'Прил1 к пасп подпр2'!$A$1:$J$33</definedName>
    <definedName name="Z_7C917F30_361A_4C86_9002_2134EAE2E3CF_.wvu.PrintArea" localSheetId="9" hidden="1">'Прил1 к пасп подпр3'!$A$1:$H$4</definedName>
    <definedName name="Z_7C917F30_361A_4C86_9002_2134EAE2E3CF_.wvu.PrintArea" localSheetId="11" hidden="1">'Прил1 к пасп подпр4'!$A$1:$K$33</definedName>
    <definedName name="Z_7C917F30_361A_4C86_9002_2134EAE2E3CF_.wvu.PrintArea" localSheetId="5" hidden="1">'Прил1 пасп подпр1'!$A$1:$J$13</definedName>
    <definedName name="Z_7C917F30_361A_4C86_9002_2134EAE2E3CF_.wvu.PrintArea" localSheetId="1" hidden="1">'Прил2 к МП'!$A$1:$N$32</definedName>
    <definedName name="Z_7C917F30_361A_4C86_9002_2134EAE2E3CF_.wvu.PrintArea" localSheetId="6" hidden="1">'Прил2 к пасп подпр1'!$A$1:$S$59</definedName>
    <definedName name="Z_7C917F30_361A_4C86_9002_2134EAE2E3CF_.wvu.PrintArea" localSheetId="8" hidden="1">'прил2 к пасп подпр2'!$A$1:$S$134</definedName>
    <definedName name="Z_7C917F30_361A_4C86_9002_2134EAE2E3CF_.wvu.PrintArea" localSheetId="10" hidden="1">'Прил2 к пасп подпр3'!$A$1:$S$40</definedName>
    <definedName name="Z_7C917F30_361A_4C86_9002_2134EAE2E3CF_.wvu.PrintArea" localSheetId="2" hidden="1">'Прил3 к МП'!$A$1:$O$15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5" hidden="1">'Прил1 пасп подпр1'!$3:$5</definedName>
    <definedName name="Z_7C917F30_361A_4C86_9002_2134EAE2E3CF_.wvu.PrintTitles" localSheetId="1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PrintTitles" localSheetId="2" hidden="1">'Прил3 к МП'!$3:$4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подпр1'!$A$4:$V$53</definedName>
    <definedName name="Z_81F2AFB8_21DA_4513_90AB_0A09D7D72D56_.wvu.FilterData" localSheetId="8" hidden="1">'прил2 к пасп подпр2'!$A$4:$V$137</definedName>
    <definedName name="Z_81F2AFB8_21DA_4513_90AB_0A09D7D72D56_.wvu.FilterData" localSheetId="10" hidden="1">'Прил2 к пасп подпр3'!$A$4:$T$35</definedName>
    <definedName name="Z_AD6F79BD_847B_4421_A1AA_268A55FACAB4_.wvu.FilterData" localSheetId="6" hidden="1">'Прил2 к пасп подпр1'!$A$4:$V$53</definedName>
    <definedName name="Z_AD6F79BD_847B_4421_A1AA_268A55FACAB4_.wvu.FilterData" localSheetId="8" hidden="1">'прил2 к пасп подпр2'!$A$4:$V$137</definedName>
    <definedName name="Z_AD6F79BD_847B_4421_A1AA_268A55FACAB4_.wvu.FilterData" localSheetId="10" hidden="1">'Прил2 к пасп подпр3'!$A$4:$T$35</definedName>
    <definedName name="Z_B45C2115_52AF_4E7B_8578_551FB3CF371E_.wvu.FilterData" localSheetId="6" hidden="1">'Прил2 к пасп подпр1'!$A$4:$V$53</definedName>
    <definedName name="Z_B45C2115_52AF_4E7B_8578_551FB3CF371E_.wvu.FilterData" localSheetId="8" hidden="1">'прил2 к пасп подпр2'!$A$4:$V$137</definedName>
    <definedName name="Z_B45C2115_52AF_4E7B_8578_551FB3CF371E_.wvu.FilterData" localSheetId="10" hidden="1">'Прил2 к пасп подпр3'!$A$4:$T$35</definedName>
    <definedName name="Z_C75D4C66_EC35_48DB_8FCD_E29923CDB091_.wvu.FilterData" localSheetId="6" hidden="1">'Прил2 к пасп подпр1'!$A$4:$V$53</definedName>
    <definedName name="Z_C75D4C66_EC35_48DB_8FCD_E29923CDB091_.wvu.FilterData" localSheetId="8" hidden="1">'прил2 к пасп подпр2'!$A$4:$V$137</definedName>
    <definedName name="Z_C75D4C66_EC35_48DB_8FCD_E29923CDB091_.wvu.FilterData" localSheetId="10" hidden="1">'Прил2 к пасп подпр3'!$A$4:$T$35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Cols" localSheetId="5" hidden="1">'Прил1 пасп подпр1'!$D:$D</definedName>
    <definedName name="Z_CDE1D6F6_68DF_42F8_B01A_FF6465B24CCD_.wvu.FilterData" localSheetId="6" hidden="1">'Прил2 к пасп подпр1'!$A$4:$V$53</definedName>
    <definedName name="Z_CDE1D6F6_68DF_42F8_B01A_FF6465B24CCD_.wvu.FilterData" localSheetId="8" hidden="1">'прил2 к пасп подпр2'!$A$4:$V$137</definedName>
    <definedName name="Z_CDE1D6F6_68DF_42F8_B01A_FF6465B24CCD_.wvu.FilterData" localSheetId="10" hidden="1">'Прил2 к пасп подпр3'!$A$4:$T$35</definedName>
    <definedName name="Z_CDE1D6F6_68DF_42F8_B01A_FF6465B24CCD_.wvu.PrintArea" localSheetId="7" hidden="1">'Прил1 к пасп подпр2'!$A$1:$J$33</definedName>
    <definedName name="Z_CDE1D6F6_68DF_42F8_B01A_FF6465B24CCD_.wvu.PrintArea" localSheetId="9" hidden="1">'Прил1 к пасп подпр3'!$A$1:$H$4</definedName>
    <definedName name="Z_CDE1D6F6_68DF_42F8_B01A_FF6465B24CCD_.wvu.PrintArea" localSheetId="11" hidden="1">'Прил1 к пасп подпр4'!$A$1:$K$33</definedName>
    <definedName name="Z_CDE1D6F6_68DF_42F8_B01A_FF6465B24CCD_.wvu.PrintArea" localSheetId="5" hidden="1">'Прил1 пасп подпр1'!$A$1:$J$13</definedName>
    <definedName name="Z_CDE1D6F6_68DF_42F8_B01A_FF6465B24CCD_.wvu.PrintArea" localSheetId="1" hidden="1">'Прил2 к МП'!$A$1:$N$32</definedName>
    <definedName name="Z_CDE1D6F6_68DF_42F8_B01A_FF6465B24CCD_.wvu.PrintArea" localSheetId="6" hidden="1">'Прил2 к пасп подпр1'!$A$1:$S$59</definedName>
    <definedName name="Z_CDE1D6F6_68DF_42F8_B01A_FF6465B24CCD_.wvu.PrintArea" localSheetId="8" hidden="1">'прил2 к пасп подпр2'!$A$1:$S$134</definedName>
    <definedName name="Z_CDE1D6F6_68DF_42F8_B01A_FF6465B24CCD_.wvu.PrintArea" localSheetId="10" hidden="1">'Прил2 к пасп подпр3'!$A$1:$S$40</definedName>
    <definedName name="Z_CDE1D6F6_68DF_42F8_B01A_FF6465B24CCD_.wvu.PrintArea" localSheetId="12" hidden="1">'Прил2 к пасп подпр4'!$A$1:$S$58</definedName>
    <definedName name="Z_CDE1D6F6_68DF_42F8_B01A_FF6465B24CCD_.wvu.PrintArea" localSheetId="2" hidden="1">'Прил3 к МП'!$A$1:$O$15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5" hidden="1">'Прил1 пасп подпр1'!$3:$5</definedName>
    <definedName name="Z_CDE1D6F6_68DF_42F8_B01A_FF6465B24CCD_.wvu.PrintTitles" localSheetId="1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PrintTitles" localSheetId="2" hidden="1">'Прил3 к МП'!$3:$4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подпр1'!$A$4:$V$53</definedName>
    <definedName name="Z_D97B14A5_4ECD_4EB7_B8A7_D41E462F19A2_.wvu.FilterData" localSheetId="8" hidden="1">'прил2 к пасп подпр2'!$A$4:$V$137</definedName>
    <definedName name="Z_D97B14A5_4ECD_4EB7_B8A7_D41E462F19A2_.wvu.FilterData" localSheetId="10" hidden="1">'Прил2 к пасп подпр3'!$A$4:$T$35</definedName>
    <definedName name="Z_FAC3C627_8E23_41AB_B3FB_95B33614D8DB_.wvu.FilterData" localSheetId="6" hidden="1">'Прил2 к пасп подпр1'!$A$4:$V$53</definedName>
    <definedName name="Z_FAC3C627_8E23_41AB_B3FB_95B33614D8DB_.wvu.FilterData" localSheetId="8" hidden="1">'прил2 к пасп подпр2'!$A$4:$V$137</definedName>
    <definedName name="Z_FAC3C627_8E23_41AB_B3FB_95B33614D8DB_.wvu.FilterData" localSheetId="10" hidden="1">'Прил2 к пасп подпр3'!$A$4:$T$35</definedName>
    <definedName name="_xlnm.Print_Titles" localSheetId="3">'Прил1 к пасп МП'!$3:$5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5">'Прил1 пасп подпр1'!$3:$5</definedName>
    <definedName name="_xlnm.Print_Titles" localSheetId="1">'Прил2 к МП'!$3:$4</definedName>
    <definedName name="_xlnm.Print_Titles" localSheetId="4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Titles" localSheetId="2">'Прил3 к МП'!$3:$4</definedName>
    <definedName name="_xlnm.Print_Area" localSheetId="3">'Прил1 к пасп МП'!$A$1:$P$76</definedName>
    <definedName name="_xlnm.Print_Area" localSheetId="7">'Прил1 к пасп подпр2'!$A$1:$N$33</definedName>
    <definedName name="_xlnm.Print_Area" localSheetId="9">'Прил1 к пасп подпр3'!$A$1:$O$13</definedName>
    <definedName name="_xlnm.Print_Area" localSheetId="11">'Прил1 к пасп подпр4'!$A$1:$N$29</definedName>
    <definedName name="_xlnm.Print_Area" localSheetId="5">'Прил1 пасп подпр1'!$A$1:$N$13</definedName>
    <definedName name="_xlnm.Print_Area" localSheetId="1">'Прил2 к МП'!$A$1:$N$32</definedName>
    <definedName name="_xlnm.Print_Area" localSheetId="4">'Прил2 к пасп МП'!$A$1:$Q$10</definedName>
    <definedName name="_xlnm.Print_Area" localSheetId="8">'прил2 к пасп подпр2'!$A$1:$S$134</definedName>
    <definedName name="_xlnm.Print_Area" localSheetId="10">'Прил2 к пасп подпр3'!$A$1:$S$40</definedName>
    <definedName name="_xlnm.Print_Area" localSheetId="12">'Прил2 к пасп подпр4'!$A$1:$S$58</definedName>
    <definedName name="_xlnm.Print_Area" localSheetId="2">'Прил3 к МП'!$A$1:$R$36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14" l="1"/>
  <c r="Q25" i="14"/>
  <c r="K25" i="14"/>
  <c r="J25" i="14"/>
  <c r="I25" i="14"/>
  <c r="I22" i="14" s="1"/>
  <c r="P24" i="14"/>
  <c r="Q24" i="14" s="1"/>
  <c r="O24" i="14"/>
  <c r="O7" i="14" s="1"/>
  <c r="O5" i="14" s="1"/>
  <c r="M24" i="14"/>
  <c r="R24" i="14" s="1"/>
  <c r="P23" i="14"/>
  <c r="R23" i="14" s="1"/>
  <c r="P22" i="14"/>
  <c r="N22" i="14"/>
  <c r="M22" i="14"/>
  <c r="L22" i="14"/>
  <c r="K22" i="14"/>
  <c r="J22" i="14"/>
  <c r="H22" i="14"/>
  <c r="Q21" i="14"/>
  <c r="R21" i="14" s="1"/>
  <c r="P20" i="14"/>
  <c r="R20" i="14" s="1"/>
  <c r="O19" i="14"/>
  <c r="P19" i="14" s="1"/>
  <c r="Q19" i="14" s="1"/>
  <c r="N19" i="14"/>
  <c r="M19" i="14"/>
  <c r="L19" i="14"/>
  <c r="K19" i="14"/>
  <c r="J19" i="14"/>
  <c r="I19" i="14"/>
  <c r="H19" i="14"/>
  <c r="R19" i="14" s="1"/>
  <c r="R18" i="14"/>
  <c r="Q18" i="14"/>
  <c r="Q15" i="14" s="1"/>
  <c r="R17" i="14"/>
  <c r="P17" i="14"/>
  <c r="R16" i="14"/>
  <c r="P16" i="14"/>
  <c r="P15" i="14"/>
  <c r="O15" i="14"/>
  <c r="N15" i="14"/>
  <c r="M15" i="14"/>
  <c r="L15" i="14"/>
  <c r="K15" i="14"/>
  <c r="J15" i="14"/>
  <c r="I15" i="14"/>
  <c r="H15" i="14"/>
  <c r="P14" i="14"/>
  <c r="R14" i="14" s="1"/>
  <c r="Q13" i="14"/>
  <c r="P13" i="14"/>
  <c r="R13" i="14" s="1"/>
  <c r="R12" i="14"/>
  <c r="P12" i="14"/>
  <c r="P11" i="14"/>
  <c r="Q11" i="14" s="1"/>
  <c r="O11" i="14"/>
  <c r="N11" i="14"/>
  <c r="M11" i="14"/>
  <c r="L11" i="14"/>
  <c r="K11" i="14"/>
  <c r="J11" i="14"/>
  <c r="I11" i="14"/>
  <c r="H11" i="14"/>
  <c r="R11" i="14" s="1"/>
  <c r="Q10" i="14"/>
  <c r="P10" i="14"/>
  <c r="O10" i="14"/>
  <c r="N10" i="14"/>
  <c r="M10" i="14"/>
  <c r="L10" i="14"/>
  <c r="K10" i="14"/>
  <c r="K5" i="14" s="1"/>
  <c r="J10" i="14"/>
  <c r="H10" i="14"/>
  <c r="P9" i="14"/>
  <c r="Q9" i="14" s="1"/>
  <c r="O9" i="14"/>
  <c r="N9" i="14"/>
  <c r="M9" i="14"/>
  <c r="L9" i="14"/>
  <c r="K9" i="14"/>
  <c r="J9" i="14"/>
  <c r="R9" i="14" s="1"/>
  <c r="I9" i="14"/>
  <c r="H9" i="14"/>
  <c r="P8" i="14"/>
  <c r="M8" i="14"/>
  <c r="R8" i="14" s="1"/>
  <c r="P7" i="14"/>
  <c r="P5" i="14" s="1"/>
  <c r="N7" i="14"/>
  <c r="N5" i="14" s="1"/>
  <c r="M7" i="14"/>
  <c r="L7" i="14"/>
  <c r="L5" i="14" s="1"/>
  <c r="K7" i="14"/>
  <c r="J7" i="14"/>
  <c r="J5" i="14" s="1"/>
  <c r="I7" i="14"/>
  <c r="H7" i="14"/>
  <c r="H5" i="14" s="1"/>
  <c r="P6" i="14"/>
  <c r="R6" i="14" s="1"/>
  <c r="M5" i="14"/>
  <c r="R15" i="14" l="1"/>
  <c r="R25" i="14"/>
  <c r="Q7" i="14"/>
  <c r="Q5" i="14" s="1"/>
  <c r="O22" i="14"/>
  <c r="I10" i="14"/>
  <c r="I5" i="14" s="1"/>
  <c r="R5" i="14" s="1"/>
  <c r="Q26" i="14"/>
  <c r="R26" i="14" s="1"/>
  <c r="J56" i="13"/>
  <c r="O54" i="13"/>
  <c r="O56" i="13" s="1"/>
  <c r="N54" i="13"/>
  <c r="N56" i="13" s="1"/>
  <c r="M54" i="13"/>
  <c r="M56" i="13" s="1"/>
  <c r="L54" i="13"/>
  <c r="L56" i="13" s="1"/>
  <c r="J54" i="13"/>
  <c r="I54" i="13"/>
  <c r="I56" i="13" s="1"/>
  <c r="H54" i="13"/>
  <c r="H56" i="13" s="1"/>
  <c r="Q53" i="13"/>
  <c r="K53" i="13"/>
  <c r="K54" i="13" s="1"/>
  <c r="K56" i="13" s="1"/>
  <c r="P52" i="13"/>
  <c r="P51" i="13"/>
  <c r="Q51" i="13" s="1"/>
  <c r="R51" i="13" s="1"/>
  <c r="Q50" i="13"/>
  <c r="R50" i="13" s="1"/>
  <c r="R49" i="13"/>
  <c r="Q49" i="13"/>
  <c r="Q48" i="13"/>
  <c r="R48" i="13" s="1"/>
  <c r="P45" i="13"/>
  <c r="Q45" i="13" s="1"/>
  <c r="R45" i="13" s="1"/>
  <c r="O45" i="13"/>
  <c r="N44" i="13"/>
  <c r="O44" i="13" s="1"/>
  <c r="P44" i="13" s="1"/>
  <c r="Q44" i="13" s="1"/>
  <c r="P43" i="13"/>
  <c r="Q43" i="13" s="1"/>
  <c r="R43" i="13" s="1"/>
  <c r="Q42" i="13"/>
  <c r="R42" i="13" s="1"/>
  <c r="P42" i="13"/>
  <c r="N42" i="13"/>
  <c r="Q41" i="13"/>
  <c r="R41" i="13" s="1"/>
  <c r="R40" i="13"/>
  <c r="Q40" i="13"/>
  <c r="Q39" i="13"/>
  <c r="R39" i="13" s="1"/>
  <c r="Q38" i="13"/>
  <c r="R38" i="13" s="1"/>
  <c r="O37" i="13"/>
  <c r="P37" i="13" s="1"/>
  <c r="Q37" i="13" s="1"/>
  <c r="R37" i="13" s="1"/>
  <c r="Q36" i="13"/>
  <c r="R36" i="13" s="1"/>
  <c r="P36" i="13"/>
  <c r="P35" i="13"/>
  <c r="P34" i="13"/>
  <c r="P33" i="13"/>
  <c r="Q33" i="13" s="1"/>
  <c r="R33" i="13" s="1"/>
  <c r="Q32" i="13"/>
  <c r="R32" i="13" s="1"/>
  <c r="R31" i="13"/>
  <c r="Q31" i="13"/>
  <c r="P30" i="13"/>
  <c r="Q30" i="13" s="1"/>
  <c r="R30" i="13" s="1"/>
  <c r="P29" i="13"/>
  <c r="Q28" i="13"/>
  <c r="R28" i="13" s="1"/>
  <c r="Q27" i="13"/>
  <c r="R27" i="13" s="1"/>
  <c r="Q26" i="13"/>
  <c r="M26" i="13"/>
  <c r="O25" i="13"/>
  <c r="N25" i="13"/>
  <c r="M25" i="13"/>
  <c r="M46" i="13" s="1"/>
  <c r="M55" i="13" s="1"/>
  <c r="M57" i="13" s="1"/>
  <c r="K25" i="13"/>
  <c r="J25" i="13"/>
  <c r="J46" i="13" s="1"/>
  <c r="I25" i="13"/>
  <c r="I46" i="13" s="1"/>
  <c r="H25" i="13"/>
  <c r="H46" i="13" s="1"/>
  <c r="Q24" i="13"/>
  <c r="R24" i="13" s="1"/>
  <c r="P23" i="13"/>
  <c r="Q22" i="13"/>
  <c r="R22" i="13" s="1"/>
  <c r="Q21" i="13"/>
  <c r="R21" i="13" s="1"/>
  <c r="Q20" i="13"/>
  <c r="R20" i="13" s="1"/>
  <c r="Q19" i="13"/>
  <c r="R19" i="13" s="1"/>
  <c r="P18" i="13"/>
  <c r="Q18" i="13" s="1"/>
  <c r="L18" i="13"/>
  <c r="R18" i="13" s="1"/>
  <c r="P17" i="13"/>
  <c r="Q16" i="13"/>
  <c r="R16" i="13" s="1"/>
  <c r="P16" i="13"/>
  <c r="P25" i="13" s="1"/>
  <c r="Q25" i="13" s="1"/>
  <c r="L16" i="13"/>
  <c r="P15" i="13"/>
  <c r="Q15" i="13" s="1"/>
  <c r="R15" i="13" s="1"/>
  <c r="P14" i="13"/>
  <c r="P13" i="13"/>
  <c r="Q12" i="13"/>
  <c r="R12" i="13" s="1"/>
  <c r="P12" i="13"/>
  <c r="Q11" i="13"/>
  <c r="R11" i="13" s="1"/>
  <c r="Q10" i="13"/>
  <c r="R10" i="13" s="1"/>
  <c r="Q9" i="13"/>
  <c r="R9" i="13" s="1"/>
  <c r="Q8" i="13"/>
  <c r="N8" i="13"/>
  <c r="R8" i="13" s="1"/>
  <c r="K8" i="13"/>
  <c r="K46" i="13" s="1"/>
  <c r="Q7" i="13"/>
  <c r="R7" i="13" s="1"/>
  <c r="N28" i="12"/>
  <c r="N27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O38" i="11"/>
  <c r="P38" i="11" s="1"/>
  <c r="Q38" i="11" s="1"/>
  <c r="N38" i="11"/>
  <c r="L38" i="11"/>
  <c r="K38" i="11"/>
  <c r="J38" i="11"/>
  <c r="I38" i="11"/>
  <c r="H38" i="11"/>
  <c r="N37" i="11"/>
  <c r="M37" i="11"/>
  <c r="L37" i="11"/>
  <c r="K37" i="11"/>
  <c r="J37" i="11"/>
  <c r="I37" i="11"/>
  <c r="O36" i="11"/>
  <c r="P36" i="11" s="1"/>
  <c r="Q36" i="11" s="1"/>
  <c r="N36" i="11"/>
  <c r="M36" i="11"/>
  <c r="L36" i="11"/>
  <c r="J36" i="11"/>
  <c r="I36" i="11"/>
  <c r="H36" i="11"/>
  <c r="P34" i="11"/>
  <c r="Q34" i="11" s="1"/>
  <c r="N34" i="11"/>
  <c r="M34" i="11"/>
  <c r="L34" i="11"/>
  <c r="K34" i="11"/>
  <c r="J34" i="11"/>
  <c r="I34" i="11"/>
  <c r="H34" i="11"/>
  <c r="P33" i="11"/>
  <c r="Q33" i="11" s="1"/>
  <c r="R33" i="11" s="1"/>
  <c r="P32" i="11"/>
  <c r="Q32" i="11" s="1"/>
  <c r="P31" i="11"/>
  <c r="P30" i="11"/>
  <c r="P29" i="11"/>
  <c r="Q29" i="11" s="1"/>
  <c r="R29" i="11" s="1"/>
  <c r="P28" i="11"/>
  <c r="P27" i="11"/>
  <c r="P26" i="11"/>
  <c r="Q26" i="11" s="1"/>
  <c r="R26" i="11" s="1"/>
  <c r="P25" i="11"/>
  <c r="Q25" i="11" s="1"/>
  <c r="R25" i="11" s="1"/>
  <c r="N23" i="11"/>
  <c r="N35" i="11" s="1"/>
  <c r="L23" i="11"/>
  <c r="L35" i="11" s="1"/>
  <c r="J23" i="11"/>
  <c r="J35" i="11" s="1"/>
  <c r="I23" i="11"/>
  <c r="I35" i="11" s="1"/>
  <c r="P22" i="11"/>
  <c r="Q21" i="11"/>
  <c r="R21" i="11" s="1"/>
  <c r="Q20" i="11"/>
  <c r="R20" i="11" s="1"/>
  <c r="P19" i="11"/>
  <c r="Q19" i="11" s="1"/>
  <c r="R19" i="11" s="1"/>
  <c r="Q18" i="11"/>
  <c r="M18" i="11"/>
  <c r="Q17" i="11"/>
  <c r="R17" i="11" s="1"/>
  <c r="P16" i="11"/>
  <c r="Q16" i="11" s="1"/>
  <c r="O16" i="11"/>
  <c r="O23" i="11" s="1"/>
  <c r="P15" i="11"/>
  <c r="Q15" i="11" s="1"/>
  <c r="R15" i="11" s="1"/>
  <c r="P14" i="11"/>
  <c r="Q14" i="11" s="1"/>
  <c r="R14" i="11" s="1"/>
  <c r="K14" i="11"/>
  <c r="K23" i="11" s="1"/>
  <c r="K35" i="11" s="1"/>
  <c r="Q13" i="11"/>
  <c r="R13" i="11" s="1"/>
  <c r="P13" i="11"/>
  <c r="P12" i="11"/>
  <c r="H12" i="11"/>
  <c r="H37" i="11" s="1"/>
  <c r="P11" i="11"/>
  <c r="Q10" i="11"/>
  <c r="R10" i="11" s="1"/>
  <c r="P9" i="11"/>
  <c r="Q9" i="11" s="1"/>
  <c r="R9" i="11" s="1"/>
  <c r="R8" i="11"/>
  <c r="R6" i="11"/>
  <c r="K133" i="9"/>
  <c r="J133" i="9"/>
  <c r="I133" i="9"/>
  <c r="O132" i="9"/>
  <c r="M132" i="9"/>
  <c r="J132" i="9"/>
  <c r="O131" i="9"/>
  <c r="J131" i="9"/>
  <c r="I131" i="9"/>
  <c r="H131" i="9"/>
  <c r="O129" i="9"/>
  <c r="M129" i="9"/>
  <c r="L129" i="9"/>
  <c r="K129" i="9"/>
  <c r="I129" i="9"/>
  <c r="Q128" i="9"/>
  <c r="R128" i="9" s="1"/>
  <c r="Q127" i="9"/>
  <c r="R127" i="9" s="1"/>
  <c r="Q126" i="9"/>
  <c r="N126" i="9"/>
  <c r="Q125" i="9"/>
  <c r="R125" i="9" s="1"/>
  <c r="Q124" i="9"/>
  <c r="R124" i="9" s="1"/>
  <c r="Q123" i="9"/>
  <c r="R123" i="9" s="1"/>
  <c r="P122" i="9"/>
  <c r="P121" i="9"/>
  <c r="P120" i="9"/>
  <c r="Q120" i="9" s="1"/>
  <c r="R120" i="9" s="1"/>
  <c r="P119" i="9"/>
  <c r="P118" i="9"/>
  <c r="P117" i="9"/>
  <c r="Q116" i="9"/>
  <c r="R116" i="9" s="1"/>
  <c r="P116" i="9"/>
  <c r="P115" i="9"/>
  <c r="P114" i="9"/>
  <c r="R113" i="9"/>
  <c r="Q113" i="9"/>
  <c r="L113" i="9"/>
  <c r="H113" i="9"/>
  <c r="H133" i="9" s="1"/>
  <c r="R112" i="9"/>
  <c r="Q112" i="9"/>
  <c r="Q111" i="9"/>
  <c r="R111" i="9" s="1"/>
  <c r="Q110" i="9"/>
  <c r="R110" i="9" s="1"/>
  <c r="P110" i="9"/>
  <c r="P109" i="9"/>
  <c r="Q109" i="9" s="1"/>
  <c r="R109" i="9" s="1"/>
  <c r="Q108" i="9"/>
  <c r="R108" i="9" s="1"/>
  <c r="P107" i="9"/>
  <c r="Q106" i="9"/>
  <c r="R106" i="9" s="1"/>
  <c r="P106" i="9"/>
  <c r="P105" i="9"/>
  <c r="Q104" i="9"/>
  <c r="R104" i="9" s="1"/>
  <c r="P103" i="9"/>
  <c r="Q103" i="9" s="1"/>
  <c r="R103" i="9" s="1"/>
  <c r="P102" i="9"/>
  <c r="J102" i="9"/>
  <c r="J129" i="9" s="1"/>
  <c r="J130" i="9" s="1"/>
  <c r="Q101" i="9"/>
  <c r="R101" i="9" s="1"/>
  <c r="J99" i="9"/>
  <c r="Q98" i="9"/>
  <c r="R98" i="9" s="1"/>
  <c r="P98" i="9"/>
  <c r="P97" i="9"/>
  <c r="P96" i="9"/>
  <c r="R95" i="9"/>
  <c r="P95" i="9"/>
  <c r="Q95" i="9" s="1"/>
  <c r="P94" i="9"/>
  <c r="Q94" i="9" s="1"/>
  <c r="R94" i="9" s="1"/>
  <c r="P93" i="9"/>
  <c r="P92" i="9"/>
  <c r="Q92" i="9" s="1"/>
  <c r="O92" i="9"/>
  <c r="O133" i="9" s="1"/>
  <c r="P133" i="9" s="1"/>
  <c r="Q133" i="9" s="1"/>
  <c r="N92" i="9"/>
  <c r="M92" i="9"/>
  <c r="M133" i="9" s="1"/>
  <c r="L92" i="9"/>
  <c r="Q91" i="9"/>
  <c r="R91" i="9" s="1"/>
  <c r="P91" i="9"/>
  <c r="P90" i="9"/>
  <c r="Q90" i="9" s="1"/>
  <c r="R90" i="9" s="1"/>
  <c r="P89" i="9"/>
  <c r="Q88" i="9"/>
  <c r="R88" i="9" s="1"/>
  <c r="Q87" i="9"/>
  <c r="R87" i="9" s="1"/>
  <c r="P86" i="9"/>
  <c r="P85" i="9"/>
  <c r="Q84" i="9"/>
  <c r="R84" i="9" s="1"/>
  <c r="Q83" i="9"/>
  <c r="R83" i="9" s="1"/>
  <c r="Q82" i="9"/>
  <c r="R82" i="9" s="1"/>
  <c r="R81" i="9"/>
  <c r="Q81" i="9"/>
  <c r="Q80" i="9"/>
  <c r="L80" i="9"/>
  <c r="P79" i="9"/>
  <c r="P78" i="9"/>
  <c r="Q77" i="9"/>
  <c r="R77" i="9" s="1"/>
  <c r="Q76" i="9"/>
  <c r="R76" i="9" s="1"/>
  <c r="Q75" i="9"/>
  <c r="R75" i="9" s="1"/>
  <c r="Q74" i="9"/>
  <c r="R74" i="9" s="1"/>
  <c r="R73" i="9"/>
  <c r="Q73" i="9"/>
  <c r="Q72" i="9"/>
  <c r="R72" i="9" s="1"/>
  <c r="Q71" i="9"/>
  <c r="R71" i="9" s="1"/>
  <c r="Q70" i="9"/>
  <c r="M70" i="9"/>
  <c r="M99" i="9" s="1"/>
  <c r="K70" i="9"/>
  <c r="R70" i="9" s="1"/>
  <c r="Q69" i="9"/>
  <c r="R69" i="9" s="1"/>
  <c r="Q68" i="9"/>
  <c r="R68" i="9" s="1"/>
  <c r="Q67" i="9"/>
  <c r="R67" i="9" s="1"/>
  <c r="R66" i="9"/>
  <c r="P66" i="9"/>
  <c r="Q66" i="9" s="1"/>
  <c r="P65" i="9"/>
  <c r="Q65" i="9" s="1"/>
  <c r="R65" i="9" s="1"/>
  <c r="P64" i="9"/>
  <c r="P63" i="9"/>
  <c r="Q62" i="9"/>
  <c r="R62" i="9" s="1"/>
  <c r="P62" i="9"/>
  <c r="P61" i="9"/>
  <c r="Q61" i="9" s="1"/>
  <c r="R61" i="9" s="1"/>
  <c r="P60" i="9"/>
  <c r="Q59" i="9"/>
  <c r="R59" i="9" s="1"/>
  <c r="Q58" i="9"/>
  <c r="R58" i="9" s="1"/>
  <c r="Q57" i="9"/>
  <c r="K57" i="9"/>
  <c r="Q56" i="9"/>
  <c r="R56" i="9" s="1"/>
  <c r="P55" i="9"/>
  <c r="Q54" i="9"/>
  <c r="R54" i="9" s="1"/>
  <c r="P53" i="9"/>
  <c r="Q52" i="9"/>
  <c r="R52" i="9" s="1"/>
  <c r="Q51" i="9"/>
  <c r="L51" i="9"/>
  <c r="L132" i="9" s="1"/>
  <c r="I51" i="9"/>
  <c r="I132" i="9" s="1"/>
  <c r="H51" i="9"/>
  <c r="H132" i="9" s="1"/>
  <c r="Q50" i="9"/>
  <c r="R50" i="9" s="1"/>
  <c r="O48" i="9"/>
  <c r="J48" i="9"/>
  <c r="I48" i="9"/>
  <c r="H48" i="9"/>
  <c r="Q47" i="9"/>
  <c r="R47" i="9" s="1"/>
  <c r="Q46" i="9"/>
  <c r="R46" i="9" s="1"/>
  <c r="Q45" i="9"/>
  <c r="R45" i="9" s="1"/>
  <c r="Q44" i="9"/>
  <c r="R44" i="9" s="1"/>
  <c r="Q43" i="9"/>
  <c r="R43" i="9" s="1"/>
  <c r="R42" i="9"/>
  <c r="Q42" i="9"/>
  <c r="Q41" i="9"/>
  <c r="N41" i="9"/>
  <c r="R41" i="9" s="1"/>
  <c r="R40" i="9"/>
  <c r="Q40" i="9"/>
  <c r="Q39" i="9"/>
  <c r="R39" i="9" s="1"/>
  <c r="Q38" i="9"/>
  <c r="R38" i="9" s="1"/>
  <c r="Q37" i="9"/>
  <c r="R37" i="9" s="1"/>
  <c r="Q36" i="9"/>
  <c r="R36" i="9" s="1"/>
  <c r="Q35" i="9"/>
  <c r="R35" i="9" s="1"/>
  <c r="Q34" i="9"/>
  <c r="R34" i="9" s="1"/>
  <c r="Q33" i="9"/>
  <c r="R33" i="9" s="1"/>
  <c r="P32" i="9"/>
  <c r="P31" i="9"/>
  <c r="Q31" i="9" s="1"/>
  <c r="K31" i="9"/>
  <c r="R31" i="9" s="1"/>
  <c r="P30" i="9"/>
  <c r="Q30" i="9" s="1"/>
  <c r="L30" i="9"/>
  <c r="L131" i="9" s="1"/>
  <c r="K30" i="9"/>
  <c r="P29" i="9"/>
  <c r="P28" i="9"/>
  <c r="P27" i="9"/>
  <c r="Q27" i="9" s="1"/>
  <c r="R27" i="9" s="1"/>
  <c r="P26" i="9"/>
  <c r="Q26" i="9" s="1"/>
  <c r="R25" i="9"/>
  <c r="Q24" i="9"/>
  <c r="R24" i="9" s="1"/>
  <c r="Q23" i="9"/>
  <c r="R23" i="9" s="1"/>
  <c r="Q22" i="9"/>
  <c r="R22" i="9" s="1"/>
  <c r="Q21" i="9"/>
  <c r="R21" i="9" s="1"/>
  <c r="Q20" i="9"/>
  <c r="R20" i="9" s="1"/>
  <c r="R19" i="9"/>
  <c r="P19" i="9"/>
  <c r="Q19" i="9" s="1"/>
  <c r="P18" i="9"/>
  <c r="Q18" i="9" s="1"/>
  <c r="R18" i="9" s="1"/>
  <c r="P17" i="9"/>
  <c r="P16" i="9"/>
  <c r="Q15" i="9"/>
  <c r="R15" i="9" s="1"/>
  <c r="P15" i="9"/>
  <c r="M15" i="9"/>
  <c r="M48" i="9" s="1"/>
  <c r="Q14" i="9"/>
  <c r="R14" i="9" s="1"/>
  <c r="P13" i="9"/>
  <c r="Q13" i="9" s="1"/>
  <c r="Q12" i="9"/>
  <c r="R12" i="9" s="1"/>
  <c r="Q11" i="9"/>
  <c r="R11" i="9" s="1"/>
  <c r="P10" i="9"/>
  <c r="P9" i="9"/>
  <c r="K9" i="9"/>
  <c r="P8" i="9"/>
  <c r="P7" i="9"/>
  <c r="K7" i="9"/>
  <c r="N30" i="8"/>
  <c r="N28" i="8"/>
  <c r="N27" i="8"/>
  <c r="N26" i="8"/>
  <c r="N25" i="8"/>
  <c r="N23" i="8"/>
  <c r="N22" i="8"/>
  <c r="N21" i="8"/>
  <c r="N20" i="8"/>
  <c r="N19" i="8"/>
  <c r="N18" i="8"/>
  <c r="N17" i="8"/>
  <c r="N16" i="8"/>
  <c r="N15" i="8"/>
  <c r="N14" i="8"/>
  <c r="N12" i="8"/>
  <c r="N11" i="8"/>
  <c r="N10" i="8"/>
  <c r="N9" i="8"/>
  <c r="N8" i="8"/>
  <c r="O56" i="7"/>
  <c r="P56" i="7" s="1"/>
  <c r="Q56" i="7" s="1"/>
  <c r="N56" i="7"/>
  <c r="M56" i="7"/>
  <c r="L56" i="7"/>
  <c r="K56" i="7"/>
  <c r="J56" i="7"/>
  <c r="I56" i="7"/>
  <c r="H56" i="7"/>
  <c r="O55" i="7"/>
  <c r="P55" i="7" s="1"/>
  <c r="Q55" i="7" s="1"/>
  <c r="N55" i="7"/>
  <c r="M55" i="7"/>
  <c r="L55" i="7"/>
  <c r="K55" i="7"/>
  <c r="J55" i="7"/>
  <c r="I55" i="7"/>
  <c r="H55" i="7"/>
  <c r="O54" i="7"/>
  <c r="P54" i="7" s="1"/>
  <c r="Q54" i="7" s="1"/>
  <c r="N54" i="7"/>
  <c r="M54" i="7"/>
  <c r="K54" i="7"/>
  <c r="J54" i="7"/>
  <c r="I54" i="7"/>
  <c r="H54" i="7"/>
  <c r="H53" i="7"/>
  <c r="O52" i="7"/>
  <c r="O53" i="7" s="1"/>
  <c r="P53" i="7" s="1"/>
  <c r="Q53" i="7" s="1"/>
  <c r="N52" i="7"/>
  <c r="N53" i="7" s="1"/>
  <c r="M52" i="7"/>
  <c r="M53" i="7" s="1"/>
  <c r="K52" i="7"/>
  <c r="K53" i="7" s="1"/>
  <c r="J52" i="7"/>
  <c r="J53" i="7" s="1"/>
  <c r="I52" i="7"/>
  <c r="I53" i="7" s="1"/>
  <c r="H52" i="7"/>
  <c r="P51" i="7"/>
  <c r="Q51" i="7" s="1"/>
  <c r="R51" i="7" s="1"/>
  <c r="Q50" i="7"/>
  <c r="R50" i="7" s="1"/>
  <c r="P50" i="7"/>
  <c r="P49" i="7"/>
  <c r="P48" i="7"/>
  <c r="P47" i="7"/>
  <c r="Q47" i="7" s="1"/>
  <c r="R47" i="7" s="1"/>
  <c r="P46" i="7"/>
  <c r="Q46" i="7" s="1"/>
  <c r="R46" i="7" s="1"/>
  <c r="P45" i="7"/>
  <c r="Q44" i="7"/>
  <c r="R44" i="7" s="1"/>
  <c r="Q43" i="7"/>
  <c r="R43" i="7" s="1"/>
  <c r="P42" i="7"/>
  <c r="R41" i="7"/>
  <c r="Q41" i="7"/>
  <c r="L41" i="7"/>
  <c r="L54" i="7" s="1"/>
  <c r="Q40" i="7"/>
  <c r="R40" i="7" s="1"/>
  <c r="P40" i="7"/>
  <c r="P39" i="7"/>
  <c r="P38" i="7"/>
  <c r="R37" i="7"/>
  <c r="Q37" i="7"/>
  <c r="P35" i="7"/>
  <c r="Q34" i="7"/>
  <c r="P34" i="7"/>
  <c r="Q33" i="7"/>
  <c r="R33" i="7" s="1"/>
  <c r="P32" i="7"/>
  <c r="Q31" i="7"/>
  <c r="P31" i="7"/>
  <c r="P30" i="7"/>
  <c r="Q30" i="7" s="1"/>
  <c r="R30" i="7" s="1"/>
  <c r="P29" i="7"/>
  <c r="Q29" i="7" s="1"/>
  <c r="R29" i="7" s="1"/>
  <c r="P28" i="7"/>
  <c r="P27" i="7"/>
  <c r="R26" i="7"/>
  <c r="Q26" i="7"/>
  <c r="Q25" i="7"/>
  <c r="R25" i="7" s="1"/>
  <c r="R24" i="7"/>
  <c r="Q24" i="7"/>
  <c r="Q23" i="7"/>
  <c r="R23" i="7" s="1"/>
  <c r="P22" i="7"/>
  <c r="Q22" i="7" s="1"/>
  <c r="R22" i="7" s="1"/>
  <c r="P21" i="7"/>
  <c r="Q21" i="7" s="1"/>
  <c r="R21" i="7" s="1"/>
  <c r="Q20" i="7"/>
  <c r="R20" i="7" s="1"/>
  <c r="Q19" i="7"/>
  <c r="R19" i="7" s="1"/>
  <c r="Q18" i="7"/>
  <c r="R18" i="7" s="1"/>
  <c r="P17" i="7"/>
  <c r="Q17" i="7" s="1"/>
  <c r="R17" i="7" s="1"/>
  <c r="P16" i="7"/>
  <c r="Q16" i="7" s="1"/>
  <c r="R16" i="7" s="1"/>
  <c r="P15" i="7"/>
  <c r="P14" i="7"/>
  <c r="R13" i="7"/>
  <c r="Q13" i="7"/>
  <c r="Q12" i="7"/>
  <c r="R12" i="7" s="1"/>
  <c r="Q11" i="7"/>
  <c r="R11" i="7" s="1"/>
  <c r="P10" i="7"/>
  <c r="Q9" i="7"/>
  <c r="R9" i="7" s="1"/>
  <c r="Q8" i="7"/>
  <c r="R8" i="7" s="1"/>
  <c r="P7" i="7"/>
  <c r="D7" i="5"/>
  <c r="P73" i="4"/>
  <c r="P72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M55" i="4"/>
  <c r="N55" i="4" s="1"/>
  <c r="O55" i="4" s="1"/>
  <c r="P55" i="4" s="1"/>
  <c r="N54" i="4"/>
  <c r="O54" i="4" s="1"/>
  <c r="P54" i="4" s="1"/>
  <c r="N53" i="4"/>
  <c r="O53" i="4" s="1"/>
  <c r="P53" i="4" s="1"/>
  <c r="P49" i="4"/>
  <c r="P48" i="4"/>
  <c r="P46" i="4"/>
  <c r="O42" i="4"/>
  <c r="P42" i="4" s="1"/>
  <c r="O41" i="4"/>
  <c r="P41" i="4" s="1"/>
  <c r="O40" i="4"/>
  <c r="P40" i="4" s="1"/>
  <c r="O39" i="4"/>
  <c r="P39" i="4" s="1"/>
  <c r="O38" i="4"/>
  <c r="P38" i="4" s="1"/>
  <c r="O36" i="4"/>
  <c r="P36" i="4" s="1"/>
  <c r="O35" i="4"/>
  <c r="P35" i="4" s="1"/>
  <c r="P34" i="4"/>
  <c r="O34" i="4"/>
  <c r="O33" i="4"/>
  <c r="P33" i="4" s="1"/>
  <c r="P32" i="4"/>
  <c r="O32" i="4"/>
  <c r="O31" i="4"/>
  <c r="P31" i="4" s="1"/>
  <c r="O30" i="4"/>
  <c r="P30" i="4" s="1"/>
  <c r="O29" i="4"/>
  <c r="P29" i="4" s="1"/>
  <c r="O28" i="4"/>
  <c r="P28" i="4" s="1"/>
  <c r="O27" i="4"/>
  <c r="P27" i="4" s="1"/>
  <c r="P25" i="4"/>
  <c r="O25" i="4"/>
  <c r="O24" i="4"/>
  <c r="P24" i="4" s="1"/>
  <c r="O23" i="4"/>
  <c r="P23" i="4" s="1"/>
  <c r="O22" i="4"/>
  <c r="P22" i="4" s="1"/>
  <c r="O21" i="4"/>
  <c r="P21" i="4" s="1"/>
  <c r="O17" i="4"/>
  <c r="P17" i="4" s="1"/>
  <c r="O16" i="4"/>
  <c r="P16" i="4" s="1"/>
  <c r="O15" i="4"/>
  <c r="P15" i="4" s="1"/>
  <c r="P14" i="4"/>
  <c r="O14" i="4"/>
  <c r="O10" i="4"/>
  <c r="P10" i="4" s="1"/>
  <c r="P9" i="4"/>
  <c r="O9" i="4"/>
  <c r="O8" i="4"/>
  <c r="P8" i="4" s="1"/>
  <c r="O7" i="4"/>
  <c r="P7" i="4" s="1"/>
  <c r="Q32" i="3"/>
  <c r="R32" i="3" s="1"/>
  <c r="P32" i="3"/>
  <c r="O32" i="3"/>
  <c r="N32" i="3"/>
  <c r="M32" i="3"/>
  <c r="L32" i="3"/>
  <c r="Q28" i="3"/>
  <c r="R28" i="3" s="1"/>
  <c r="R24" i="3"/>
  <c r="Q20" i="3"/>
  <c r="R20" i="3" s="1"/>
  <c r="P20" i="3"/>
  <c r="O20" i="3"/>
  <c r="M20" i="3"/>
  <c r="L20" i="3"/>
  <c r="N19" i="3"/>
  <c r="O19" i="3" s="1"/>
  <c r="P19" i="3" s="1"/>
  <c r="M19" i="3"/>
  <c r="L19" i="3"/>
  <c r="Q16" i="3"/>
  <c r="R16" i="3" s="1"/>
  <c r="P16" i="3"/>
  <c r="O16" i="3"/>
  <c r="N16" i="3"/>
  <c r="M16" i="3"/>
  <c r="Q12" i="3"/>
  <c r="R12" i="3" s="1"/>
  <c r="P12" i="3"/>
  <c r="O12" i="3"/>
  <c r="N12" i="3"/>
  <c r="M12" i="3"/>
  <c r="L8" i="3"/>
  <c r="L31" i="2"/>
  <c r="L30" i="2"/>
  <c r="M30" i="2" s="1"/>
  <c r="M29" i="2"/>
  <c r="N29" i="2" s="1"/>
  <c r="L28" i="2"/>
  <c r="N28" i="2" s="1"/>
  <c r="K27" i="2"/>
  <c r="J27" i="2"/>
  <c r="I27" i="2"/>
  <c r="H27" i="2"/>
  <c r="G27" i="2"/>
  <c r="F27" i="2"/>
  <c r="E27" i="2"/>
  <c r="D27" i="2"/>
  <c r="M26" i="2"/>
  <c r="N26" i="2" s="1"/>
  <c r="M25" i="2"/>
  <c r="N25" i="2" s="1"/>
  <c r="L25" i="2"/>
  <c r="M24" i="2"/>
  <c r="N24" i="2" s="1"/>
  <c r="N23" i="2"/>
  <c r="L23" i="2"/>
  <c r="K22" i="2"/>
  <c r="L22" i="2" s="1"/>
  <c r="M22" i="2" s="1"/>
  <c r="J22" i="2"/>
  <c r="I22" i="2"/>
  <c r="H22" i="2"/>
  <c r="G22" i="2"/>
  <c r="F22" i="2"/>
  <c r="E22" i="2"/>
  <c r="D22" i="2"/>
  <c r="M21" i="2"/>
  <c r="N21" i="2" s="1"/>
  <c r="M20" i="2"/>
  <c r="N20" i="2" s="1"/>
  <c r="M19" i="2"/>
  <c r="N19" i="2" s="1"/>
  <c r="M18" i="2"/>
  <c r="M7" i="2" s="1"/>
  <c r="L18" i="2"/>
  <c r="K18" i="2"/>
  <c r="J18" i="2"/>
  <c r="J7" i="2" s="1"/>
  <c r="N17" i="2"/>
  <c r="L17" i="2"/>
  <c r="K16" i="2"/>
  <c r="I16" i="2"/>
  <c r="H16" i="2"/>
  <c r="G16" i="2"/>
  <c r="F16" i="2"/>
  <c r="E16" i="2"/>
  <c r="D16" i="2"/>
  <c r="M15" i="2"/>
  <c r="N15" i="2" s="1"/>
  <c r="M14" i="2"/>
  <c r="N14" i="2" s="1"/>
  <c r="N13" i="2"/>
  <c r="M13" i="2"/>
  <c r="L12" i="2"/>
  <c r="N12" i="2" s="1"/>
  <c r="K11" i="2"/>
  <c r="L11" i="2" s="1"/>
  <c r="M11" i="2" s="1"/>
  <c r="J11" i="2"/>
  <c r="I11" i="2"/>
  <c r="H11" i="2"/>
  <c r="G11" i="2"/>
  <c r="F11" i="2"/>
  <c r="E11" i="2"/>
  <c r="D11" i="2"/>
  <c r="K10" i="2"/>
  <c r="J10" i="2"/>
  <c r="I10" i="2"/>
  <c r="H10" i="2"/>
  <c r="G10" i="2"/>
  <c r="F10" i="2"/>
  <c r="E10" i="2"/>
  <c r="D10" i="2"/>
  <c r="L9" i="2"/>
  <c r="K9" i="2"/>
  <c r="J9" i="2"/>
  <c r="I9" i="2"/>
  <c r="H9" i="2"/>
  <c r="G9" i="2"/>
  <c r="F9" i="2"/>
  <c r="E9" i="2"/>
  <c r="D9" i="2"/>
  <c r="D5" i="2" s="1"/>
  <c r="M8" i="2"/>
  <c r="L8" i="2"/>
  <c r="K8" i="2"/>
  <c r="J8" i="2"/>
  <c r="I8" i="2"/>
  <c r="H8" i="2"/>
  <c r="G8" i="2"/>
  <c r="F8" i="2"/>
  <c r="E8" i="2"/>
  <c r="D8" i="2"/>
  <c r="K7" i="2"/>
  <c r="H5" i="2"/>
  <c r="Q22" i="14" l="1"/>
  <c r="R22" i="14" s="1"/>
  <c r="R7" i="14"/>
  <c r="R10" i="14"/>
  <c r="P132" i="9"/>
  <c r="Q132" i="9" s="1"/>
  <c r="Q8" i="9"/>
  <c r="R8" i="9" s="1"/>
  <c r="Q28" i="9"/>
  <c r="R28" i="9" s="1"/>
  <c r="P99" i="9"/>
  <c r="Q99" i="9" s="1"/>
  <c r="Q53" i="9"/>
  <c r="R53" i="9" s="1"/>
  <c r="R85" i="9"/>
  <c r="Q30" i="11"/>
  <c r="R30" i="11" s="1"/>
  <c r="Q52" i="13"/>
  <c r="R52" i="13" s="1"/>
  <c r="G5" i="2"/>
  <c r="M38" i="11"/>
  <c r="R38" i="11" s="1"/>
  <c r="M23" i="11"/>
  <c r="M35" i="11" s="1"/>
  <c r="L16" i="2"/>
  <c r="L7" i="2"/>
  <c r="R27" i="7"/>
  <c r="Q27" i="7"/>
  <c r="Q48" i="7"/>
  <c r="R48" i="7" s="1"/>
  <c r="R56" i="7"/>
  <c r="Q9" i="9"/>
  <c r="R9" i="9" s="1"/>
  <c r="R30" i="9"/>
  <c r="N133" i="9"/>
  <c r="N99" i="9"/>
  <c r="R117" i="9"/>
  <c r="R121" i="9"/>
  <c r="Q121" i="9"/>
  <c r="P54" i="13"/>
  <c r="Q54" i="13" s="1"/>
  <c r="Q38" i="7"/>
  <c r="R38" i="7" s="1"/>
  <c r="K5" i="2"/>
  <c r="R34" i="7"/>
  <c r="N132" i="9"/>
  <c r="N129" i="9"/>
  <c r="R126" i="9"/>
  <c r="R17" i="13"/>
  <c r="P129" i="9"/>
  <c r="Q129" i="9" s="1"/>
  <c r="N46" i="13"/>
  <c r="N55" i="13" s="1"/>
  <c r="N57" i="13" s="1"/>
  <c r="I5" i="2"/>
  <c r="N11" i="2"/>
  <c r="P131" i="9"/>
  <c r="Q131" i="9" s="1"/>
  <c r="M130" i="9"/>
  <c r="R80" i="9"/>
  <c r="Q85" i="9"/>
  <c r="R92" i="9"/>
  <c r="Q107" i="9"/>
  <c r="R107" i="9" s="1"/>
  <c r="Q117" i="9"/>
  <c r="R16" i="11"/>
  <c r="K131" i="9"/>
  <c r="R18" i="11"/>
  <c r="Q17" i="13"/>
  <c r="O46" i="13"/>
  <c r="O55" i="13" s="1"/>
  <c r="O57" i="13" s="1"/>
  <c r="N8" i="2"/>
  <c r="F5" i="2"/>
  <c r="J5" i="2"/>
  <c r="N22" i="2"/>
  <c r="M31" i="2"/>
  <c r="N31" i="2" s="1"/>
  <c r="Q21" i="3"/>
  <c r="Q14" i="7"/>
  <c r="R14" i="7" s="1"/>
  <c r="R31" i="7"/>
  <c r="R55" i="7"/>
  <c r="Q7" i="9"/>
  <c r="R7" i="9" s="1"/>
  <c r="K132" i="9"/>
  <c r="R132" i="9" s="1"/>
  <c r="R57" i="9"/>
  <c r="H23" i="11"/>
  <c r="P56" i="13"/>
  <c r="Q56" i="13" s="1"/>
  <c r="R26" i="13"/>
  <c r="I57" i="13"/>
  <c r="I55" i="13"/>
  <c r="J57" i="13"/>
  <c r="J55" i="13"/>
  <c r="H55" i="13"/>
  <c r="H57" i="13"/>
  <c r="K55" i="13"/>
  <c r="K57" i="13"/>
  <c r="Q14" i="13"/>
  <c r="R14" i="13" s="1"/>
  <c r="Q29" i="13"/>
  <c r="R29" i="13" s="1"/>
  <c r="Q35" i="13"/>
  <c r="R35" i="13" s="1"/>
  <c r="R44" i="13"/>
  <c r="Q13" i="13"/>
  <c r="R13" i="13" s="1"/>
  <c r="Q23" i="13"/>
  <c r="R23" i="13" s="1"/>
  <c r="L25" i="13"/>
  <c r="L46" i="13" s="1"/>
  <c r="Q34" i="13"/>
  <c r="R34" i="13" s="1"/>
  <c r="P46" i="13"/>
  <c r="R54" i="13"/>
  <c r="R53" i="13"/>
  <c r="O35" i="11"/>
  <c r="P35" i="11" s="1"/>
  <c r="Q35" i="11" s="1"/>
  <c r="P23" i="11"/>
  <c r="Q23" i="11" s="1"/>
  <c r="R12" i="11"/>
  <c r="R34" i="11"/>
  <c r="O37" i="11"/>
  <c r="P37" i="11" s="1"/>
  <c r="Q37" i="11" s="1"/>
  <c r="H35" i="11"/>
  <c r="Q11" i="11"/>
  <c r="R11" i="11" s="1"/>
  <c r="Q12" i="11"/>
  <c r="Q28" i="11"/>
  <c r="R28" i="11" s="1"/>
  <c r="Q22" i="11"/>
  <c r="R22" i="11" s="1"/>
  <c r="Q27" i="11"/>
  <c r="R27" i="11" s="1"/>
  <c r="Q31" i="11"/>
  <c r="R31" i="11" s="1"/>
  <c r="R32" i="11"/>
  <c r="K36" i="11"/>
  <c r="R36" i="11" s="1"/>
  <c r="P130" i="9"/>
  <c r="Q130" i="9" s="1"/>
  <c r="R51" i="9"/>
  <c r="M131" i="9"/>
  <c r="Q55" i="9"/>
  <c r="R55" i="9" s="1"/>
  <c r="Q60" i="9"/>
  <c r="R60" i="9" s="1"/>
  <c r="Q64" i="9"/>
  <c r="R64" i="9" s="1"/>
  <c r="Q79" i="9"/>
  <c r="R79" i="9" s="1"/>
  <c r="Q89" i="9"/>
  <c r="R89" i="9" s="1"/>
  <c r="Q93" i="9"/>
  <c r="R93" i="9" s="1"/>
  <c r="Q97" i="9"/>
  <c r="R97" i="9" s="1"/>
  <c r="K99" i="9"/>
  <c r="K130" i="9" s="1"/>
  <c r="O99" i="9"/>
  <c r="O130" i="9" s="1"/>
  <c r="Q102" i="9"/>
  <c r="R102" i="9" s="1"/>
  <c r="Q105" i="9"/>
  <c r="R105" i="9" s="1"/>
  <c r="Q115" i="9"/>
  <c r="R115" i="9" s="1"/>
  <c r="Q119" i="9"/>
  <c r="R119" i="9" s="1"/>
  <c r="H129" i="9"/>
  <c r="N131" i="9"/>
  <c r="L133" i="9"/>
  <c r="Q17" i="9"/>
  <c r="R17" i="9" s="1"/>
  <c r="N48" i="9"/>
  <c r="N130" i="9" s="1"/>
  <c r="Q10" i="9"/>
  <c r="R10" i="9" s="1"/>
  <c r="R13" i="9"/>
  <c r="Q16" i="9"/>
  <c r="R16" i="9" s="1"/>
  <c r="R26" i="9"/>
  <c r="Q29" i="9"/>
  <c r="R29" i="9" s="1"/>
  <c r="Q32" i="9"/>
  <c r="R32" i="9" s="1"/>
  <c r="K48" i="9"/>
  <c r="Q63" i="9"/>
  <c r="R63" i="9" s="1"/>
  <c r="Q78" i="9"/>
  <c r="R78" i="9" s="1"/>
  <c r="Q86" i="9"/>
  <c r="R86" i="9" s="1"/>
  <c r="Q96" i="9"/>
  <c r="R96" i="9" s="1"/>
  <c r="H99" i="9"/>
  <c r="L99" i="9"/>
  <c r="L130" i="9" s="1"/>
  <c r="Q114" i="9"/>
  <c r="R114" i="9" s="1"/>
  <c r="Q118" i="9"/>
  <c r="R118" i="9" s="1"/>
  <c r="Q122" i="9"/>
  <c r="R122" i="9" s="1"/>
  <c r="L48" i="9"/>
  <c r="P48" i="9"/>
  <c r="Q48" i="9" s="1"/>
  <c r="I99" i="9"/>
  <c r="I130" i="9" s="1"/>
  <c r="R54" i="7"/>
  <c r="R32" i="7"/>
  <c r="R15" i="7"/>
  <c r="Q10" i="7"/>
  <c r="R10" i="7" s="1"/>
  <c r="Q15" i="7"/>
  <c r="Q28" i="7"/>
  <c r="R28" i="7" s="1"/>
  <c r="Q32" i="7"/>
  <c r="Q35" i="7"/>
  <c r="R35" i="7" s="1"/>
  <c r="Q39" i="7"/>
  <c r="R39" i="7" s="1"/>
  <c r="Q45" i="7"/>
  <c r="R45" i="7" s="1"/>
  <c r="Q49" i="7"/>
  <c r="R49" i="7" s="1"/>
  <c r="L52" i="7"/>
  <c r="L53" i="7" s="1"/>
  <c r="R53" i="7" s="1"/>
  <c r="P52" i="7"/>
  <c r="Q52" i="7" s="1"/>
  <c r="Q7" i="7"/>
  <c r="R7" i="7" s="1"/>
  <c r="Q42" i="7"/>
  <c r="R42" i="7" s="1"/>
  <c r="N30" i="2"/>
  <c r="M9" i="2"/>
  <c r="E5" i="2"/>
  <c r="M16" i="2"/>
  <c r="N18" i="2"/>
  <c r="N7" i="2" s="1"/>
  <c r="M27" i="2"/>
  <c r="L10" i="2"/>
  <c r="J16" i="2"/>
  <c r="N16" i="2" s="1"/>
  <c r="L27" i="2"/>
  <c r="N27" i="2" s="1"/>
  <c r="R48" i="9" l="1"/>
  <c r="R56" i="13"/>
  <c r="R52" i="7"/>
  <c r="R133" i="9"/>
  <c r="R23" i="11"/>
  <c r="R131" i="9"/>
  <c r="R35" i="11"/>
  <c r="L55" i="13"/>
  <c r="L57" i="13"/>
  <c r="R25" i="13"/>
  <c r="P55" i="13"/>
  <c r="Q46" i="13"/>
  <c r="R46" i="13" s="1"/>
  <c r="R37" i="11"/>
  <c r="R99" i="9"/>
  <c r="R129" i="9"/>
  <c r="H130" i="9"/>
  <c r="R130" i="9" s="1"/>
  <c r="M10" i="2"/>
  <c r="M5" i="2" s="1"/>
  <c r="L5" i="2"/>
  <c r="N9" i="2"/>
  <c r="Q55" i="13" l="1"/>
  <c r="R55" i="13" s="1"/>
  <c r="P57" i="13"/>
  <c r="Q57" i="13" s="1"/>
  <c r="N10" i="2"/>
  <c r="N5" i="2" s="1"/>
  <c r="R57" i="13" l="1"/>
</calcChain>
</file>

<file path=xl/sharedStrings.xml><?xml version="1.0" encoding="utf-8"?>
<sst xmlns="http://schemas.openxmlformats.org/spreadsheetml/2006/main" count="1866" uniqueCount="613">
  <si>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</si>
  <si>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</si>
  <si>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</si>
  <si>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</si>
  <si>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</si>
  <si>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</si>
  <si>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</si>
  <si>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</si>
  <si>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</si>
  <si>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</si>
  <si>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</si>
  <si>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</si>
  <si>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</si>
  <si>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</si>
  <si>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</si>
  <si>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</si>
  <si>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</si>
  <si>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</si>
  <si>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</si>
  <si>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</si>
  <si>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</si>
  <si>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</si>
  <si>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</si>
  <si>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</si>
  <si>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</si>
  <si>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</si>
  <si>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</si>
  <si>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</si>
  <si>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</si>
  <si>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</si>
  <si>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</si>
  <si>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</si>
  <si>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</si>
  <si>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</si>
  <si>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Г.В.Кабацура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</si>
  <si>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</si>
  <si>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</si>
  <si>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</si>
  <si>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</si>
  <si>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</si>
  <si>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</si>
  <si>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</si>
  <si>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</si>
  <si>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</si>
  <si>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</si>
  <si>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</si>
  <si>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</si>
  <si>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</si>
  <si>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</si>
  <si>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</si>
  <si>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</si>
  <si>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</si>
  <si>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</si>
  <si>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</si>
  <si>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</si>
  <si>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</si>
  <si>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</si>
  <si>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</si>
  <si>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</si>
  <si>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</si>
  <si>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</si>
  <si>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</si>
  <si>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</si>
  <si>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</si>
  <si>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</si>
  <si>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</si>
  <si>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</si>
  <si>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</si>
  <si>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</si>
  <si>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</si>
  <si>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</si>
  <si>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</si>
  <si>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</si>
  <si>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</si>
  <si>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</si>
  <si>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</si>
  <si>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</si>
  <si>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</si>
  <si>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</si>
  <si>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</si>
  <si>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</si>
  <si>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</si>
  <si>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</si>
  <si>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</si>
  <si>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</si>
  <si>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</si>
  <si>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</si>
  <si>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</si>
  <si>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</si>
  <si>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</si>
  <si>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</si>
  <si>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</si>
  <si>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</si>
  <si>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</si>
  <si>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</si>
  <si>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</si>
  <si>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</si>
  <si>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</si>
  <si>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</si>
  <si>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</si>
  <si>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</si>
  <si>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</si>
  <si>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</si>
  <si>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</si>
  <si>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</si>
  <si>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</si>
  <si>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</si>
  <si>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</si>
  <si>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</si>
  <si>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</si>
  <si>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</si>
  <si>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</si>
  <si>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</si>
  <si>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</si>
  <si>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</si>
  <si>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</si>
  <si>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</si>
  <si>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</si>
  <si>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</si>
  <si>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</si>
  <si>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</si>
  <si>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</si>
  <si>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</si>
  <si>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</si>
  <si>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</si>
  <si>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</si>
  <si>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</si>
  <si>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</si>
  <si>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</si>
  <si>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</si>
  <si>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</si>
  <si>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</si>
  <si>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</si>
  <si>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</si>
  <si>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</si>
  <si>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</si>
  <si>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</si>
  <si>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</si>
  <si>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</si>
  <si>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</si>
  <si>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</si>
  <si>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</si>
  <si>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</si>
  <si>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</si>
  <si>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</si>
  <si>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</si>
  <si>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</si>
  <si>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</si>
  <si>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</si>
  <si>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</si>
  <si>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</si>
  <si>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</si>
  <si>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</si>
  <si>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</si>
  <si>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</si>
  <si>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</si>
  <si>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</si>
  <si>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</si>
  <si>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</si>
  <si>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</si>
  <si>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</si>
  <si>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</si>
  <si>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</si>
  <si>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</si>
  <si>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</si>
  <si>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</si>
  <si>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</si>
  <si>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</si>
  <si>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</si>
  <si>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</si>
  <si>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</si>
  <si>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</si>
  <si>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</si>
  <si>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</si>
  <si>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</si>
  <si>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</si>
  <si>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</si>
  <si>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</si>
  <si>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</si>
  <si>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</si>
  <si>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</si>
  <si>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</si>
  <si>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</si>
  <si>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</si>
  <si>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</si>
  <si>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</si>
  <si>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</si>
  <si>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</si>
  <si>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</si>
  <si>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</si>
  <si>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</si>
  <si>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</si>
  <si>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</si>
  <si>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</si>
  <si>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</si>
  <si>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</si>
  <si>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</si>
  <si>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</si>
  <si>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</si>
  <si>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</si>
  <si>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</si>
  <si>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</si>
  <si>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</si>
  <si>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</si>
  <si>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</si>
  <si>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</si>
  <si>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</si>
  <si>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</si>
  <si>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</si>
  <si>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</si>
  <si>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</si>
  <si>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</si>
  <si>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</si>
  <si>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</si>
  <si>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</si>
  <si>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</si>
  <si>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</si>
  <si>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</si>
  <si>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</si>
  <si>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</si>
  <si>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</si>
  <si>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</si>
  <si>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</si>
  <si>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</si>
  <si>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</si>
  <si>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</si>
  <si>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</si>
  <si>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</si>
  <si>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</si>
  <si>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</si>
  <si>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</si>
  <si>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</si>
  <si>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</si>
  <si>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</si>
  <si>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</si>
  <si>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</si>
  <si>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</si>
  <si>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</si>
  <si>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</si>
  <si>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</si>
  <si>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</si>
  <si>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</si>
  <si>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</si>
  <si>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</si>
  <si>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</si>
  <si>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</si>
  <si>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</si>
  <si>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</si>
  <si>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</si>
  <si>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</si>
  <si>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</si>
  <si>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</si>
  <si>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</si>
  <si>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</si>
  <si>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</si>
  <si>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</si>
  <si>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</si>
  <si>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</si>
  <si>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</si>
  <si>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</si>
  <si>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</si>
  <si>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</si>
  <si>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</si>
  <si>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</si>
  <si>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</si>
  <si>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</si>
  <si>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</si>
  <si>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</si>
  <si>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</si>
  <si>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</si>
  <si>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</si>
  <si>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</si>
  <si>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</si>
  <si>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</si>
  <si>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</si>
  <si>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</si>
  <si>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870</t>
  </si>
  <si>
    <t>0110074080</t>
  </si>
  <si>
    <t>011001047А, 0110010230, 0110010490</t>
  </si>
  <si>
    <t>011001047Б, 0110010230, 0110010490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</si>
  <si>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</si>
  <si>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</si>
  <si>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</si>
  <si>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</si>
  <si>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</si>
  <si>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</si>
  <si>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</si>
  <si>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</si>
  <si>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</si>
  <si>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</si>
  <si>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</si>
  <si>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</si>
  <si>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</si>
  <si>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</si>
  <si>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</si>
  <si>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</si>
  <si>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</si>
  <si>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</si>
  <si>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</si>
  <si>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</si>
  <si>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</si>
  <si>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</si>
  <si>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</si>
  <si>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</si>
  <si>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</si>
  <si>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</si>
  <si>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</si>
  <si>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</si>
  <si>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</si>
  <si>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</si>
  <si>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</si>
  <si>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</si>
  <si>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</si>
  <si>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</si>
  <si>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</si>
  <si>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</si>
  <si>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</si>
  <si>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</si>
  <si>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</si>
  <si>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</si>
  <si>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</si>
  <si>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</si>
  <si>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</si>
  <si>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</si>
  <si>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</si>
  <si>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</si>
  <si>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</si>
  <si>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</si>
  <si>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</si>
  <si>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</si>
  <si>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</si>
  <si>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</si>
  <si>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</si>
  <si>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</si>
  <si>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</si>
  <si>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</si>
  <si>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</si>
  <si>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</si>
  <si>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</si>
  <si>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</si>
  <si>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</si>
  <si>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</si>
  <si>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</si>
  <si>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</si>
  <si>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</si>
  <si>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</si>
  <si>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</si>
  <si>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Задача № 4.  Обеспечение функционирования системы персонифицированного финансирования, обеспечивающей свободу выбора образовательных программ, равенство доступа к дополнительному образованию.</t>
  </si>
  <si>
    <t>4.1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</si>
  <si>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</si>
  <si>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</si>
  <si>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</si>
  <si>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</si>
  <si>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</si>
  <si>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</si>
  <si>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</si>
  <si>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</si>
  <si>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</si>
  <si>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</si>
  <si>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</si>
  <si>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</si>
  <si>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</si>
  <si>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</si>
  <si>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</si>
  <si>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</si>
  <si>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</si>
  <si>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</si>
  <si>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</si>
  <si>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</si>
  <si>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</si>
  <si>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</si>
  <si>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</si>
  <si>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</si>
  <si>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</si>
  <si>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</si>
  <si>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</si>
  <si>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</si>
  <si>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</si>
  <si>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</si>
  <si>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</si>
  <si>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</si>
  <si>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</si>
  <si>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</si>
  <si>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612,622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</si>
  <si>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</si>
  <si>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</si>
  <si>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</si>
  <si>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</si>
  <si>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</si>
  <si>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</si>
  <si>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</si>
  <si>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</si>
  <si>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</si>
  <si>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</si>
  <si>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</si>
  <si>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>012Е151690,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</si>
  <si>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</si>
  <si>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</si>
  <si>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>012Е151690,    01200S5980</t>
  </si>
  <si>
    <t>2.1.12</t>
  </si>
  <si>
    <t>012Е151690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</si>
  <si>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</si>
  <si>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</si>
  <si>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</si>
  <si>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</si>
  <si>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</si>
  <si>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</si>
  <si>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</si>
  <si>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</si>
  <si>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</si>
  <si>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2.1.16</t>
  </si>
  <si>
    <t xml:space="preserve">Расходы муниципальных учреждений за содействие развитию налогового потенциала </t>
  </si>
  <si>
    <t>0120077450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</si>
  <si>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</si>
  <si>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</si>
  <si>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</si>
  <si>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</si>
  <si>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</si>
  <si>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</si>
  <si>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</si>
  <si>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</si>
  <si>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</si>
  <si>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0703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</si>
  <si>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</si>
  <si>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</si>
  <si>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</si>
  <si>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</si>
  <si>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0121022</t>
  </si>
  <si>
    <t>0120074090</t>
  </si>
  <si>
    <t>012001047А, 012001038А, 0120010490</t>
  </si>
  <si>
    <t>012001047Б, 012001038А, 0120010490</t>
  </si>
  <si>
    <t>0120010230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</si>
  <si>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</si>
  <si>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</si>
  <si>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</si>
  <si>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</si>
  <si>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</si>
  <si>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</si>
  <si>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</si>
  <si>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</si>
  <si>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</si>
  <si>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</si>
  <si>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</si>
  <si>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</si>
  <si>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</si>
  <si>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</si>
  <si>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</si>
  <si>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</si>
  <si>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</si>
  <si>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</si>
  <si>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</si>
  <si>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</si>
  <si>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</si>
  <si>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</si>
  <si>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</si>
  <si>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</si>
  <si>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</si>
  <si>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01200S031М</t>
  </si>
  <si>
    <t>0120010420</t>
  </si>
  <si>
    <t>0120010480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</si>
  <si>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</si>
  <si>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</si>
  <si>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</si>
  <si>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</si>
  <si>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</si>
  <si>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</si>
  <si>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</si>
  <si>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</si>
  <si>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</si>
  <si>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</si>
  <si>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</si>
  <si>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</si>
  <si>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</si>
  <si>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</si>
  <si>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</si>
  <si>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</si>
  <si>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</si>
  <si>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</si>
  <si>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</si>
  <si>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</si>
  <si>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</si>
  <si>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</si>
  <si>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</si>
  <si>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</si>
  <si>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</si>
  <si>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</si>
  <si>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</si>
  <si>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</si>
  <si>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</si>
  <si>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</si>
  <si>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</si>
  <si>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</si>
  <si>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</si>
  <si>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</si>
  <si>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</si>
  <si>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</si>
  <si>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</si>
  <si>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</si>
  <si>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</si>
  <si>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</si>
  <si>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</si>
  <si>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</si>
  <si>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</si>
  <si>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</si>
  <si>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</si>
  <si>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</si>
  <si>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</si>
  <si>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</si>
  <si>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</si>
  <si>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</si>
  <si>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</si>
  <si>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</si>
  <si>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</si>
  <si>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</si>
  <si>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</si>
  <si>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</si>
  <si>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</si>
  <si>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</si>
  <si>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</si>
  <si>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</si>
  <si>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</si>
  <si>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</si>
  <si>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</si>
  <si>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(м.б.)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</si>
  <si>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</si>
  <si>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</si>
  <si>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</si>
  <si>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</si>
  <si>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</si>
  <si>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</si>
  <si>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</si>
  <si>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</si>
  <si>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</si>
  <si>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</si>
  <si>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</si>
  <si>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</si>
  <si>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</si>
  <si>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</si>
  <si>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</si>
  <si>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</si>
  <si>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</si>
  <si>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</si>
  <si>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</si>
  <si>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</si>
  <si>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</si>
  <si>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</si>
  <si>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</si>
  <si>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</si>
  <si>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240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</si>
  <si>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</si>
  <si>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</si>
  <si>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</si>
  <si>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</si>
  <si>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</si>
  <si>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</si>
  <si>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</si>
  <si>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</si>
  <si>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</si>
  <si>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</si>
  <si>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</si>
  <si>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</si>
  <si>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</si>
  <si>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</si>
  <si>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</si>
  <si>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</si>
  <si>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</si>
  <si>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</si>
  <si>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</si>
  <si>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</si>
  <si>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</si>
  <si>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014001036W</t>
  </si>
  <si>
    <t>014001036Z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</si>
  <si>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</si>
  <si>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</si>
  <si>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</si>
  <si>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</si>
  <si>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</si>
  <si>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</si>
  <si>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</si>
  <si>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</si>
  <si>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</si>
  <si>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</si>
  <si>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</si>
  <si>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</si>
  <si>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</si>
  <si>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37 учреждений;</t>
  </si>
  <si>
    <t>0140080710</t>
  </si>
  <si>
    <t>0140010230, 0140010490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</si>
  <si>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</si>
  <si>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</si>
  <si>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</si>
  <si>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</si>
  <si>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</si>
  <si>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</si>
  <si>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</si>
  <si>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</si>
  <si>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</si>
  <si>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</si>
  <si>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</si>
  <si>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</si>
  <si>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</si>
  <si>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</si>
  <si>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</si>
  <si>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</si>
  <si>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2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</si>
  <si>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</si>
  <si>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</si>
  <si>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</si>
  <si>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</si>
  <si>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</si>
  <si>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</si>
  <si>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0147587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</si>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</sst>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0.0"/>
    <numFmt numFmtId="168" formatCode="#,##0.0"/>
    <numFmt numFmtId="169" formatCode="#,##0.0_ ;\-#,##0.0\ "/>
    <numFmt numFmtId="170" formatCode="_-* #,##0.00_р_._-;\-* #,##0.00_р_._-;_-* &quot;-&quot;?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69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6" fillId="0" borderId="0" xfId="0" applyFont="1" applyFill="1" applyAlignment="1">
      <alignment vertical="top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4" fontId="2" fillId="4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4" fontId="2" fillId="4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7" fontId="2" fillId="2" borderId="2" xfId="0" applyNumberFormat="1" applyFont="1" applyFill="1" applyBorder="1" applyAlignment="1">
      <alignment horizontal="center" vertical="center"/>
    </xf>
    <xf numFmtId="167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7" fontId="2" fillId="2" borderId="0" xfId="0" applyNumberFormat="1" applyFont="1" applyFill="1"/>
    <xf numFmtId="167" fontId="2" fillId="0" borderId="2" xfId="0" applyNumberFormat="1" applyFont="1" applyBorder="1" applyAlignment="1">
      <alignment vertical="center"/>
    </xf>
    <xf numFmtId="167" fontId="2" fillId="0" borderId="0" xfId="0" applyNumberFormat="1" applyFont="1"/>
    <xf numFmtId="0" fontId="2" fillId="2" borderId="2" xfId="0" applyFont="1" applyFill="1" applyBorder="1" applyAlignment="1">
      <alignment vertical="center"/>
    </xf>
    <xf numFmtId="167" fontId="2" fillId="2" borderId="2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/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8" fillId="0" borderId="0" xfId="0" applyFont="1" applyFill="1"/>
    <xf numFmtId="0" fontId="2" fillId="0" borderId="0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 wrapText="1" indent="1"/>
    </xf>
    <xf numFmtId="0" fontId="2" fillId="2" borderId="2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2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/>
    </xf>
    <xf numFmtId="0" fontId="2" fillId="5" borderId="2" xfId="2" applyFont="1" applyFill="1" applyBorder="1" applyAlignment="1">
      <alignment horizontal="left" vertical="top" wrapText="1" indent="1"/>
    </xf>
    <xf numFmtId="0" fontId="2" fillId="5" borderId="2" xfId="2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2" applyFont="1" applyFill="1" applyBorder="1" applyAlignment="1">
      <alignment horizontal="center" vertical="top" wrapText="1"/>
    </xf>
    <xf numFmtId="0" fontId="2" fillId="5" borderId="2" xfId="2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" fontId="2" fillId="6" borderId="2" xfId="2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vertical="center"/>
    </xf>
    <xf numFmtId="0" fontId="2" fillId="6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0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2" xfId="0" applyNumberFormat="1" applyFont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168" fontId="2" fillId="0" borderId="2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2" applyFont="1" applyFill="1" applyAlignment="1">
      <alignment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>
      <alignment horizontal="right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left" vertical="top" wrapText="1"/>
    </xf>
    <xf numFmtId="4" fontId="2" fillId="5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" fontId="17" fillId="2" borderId="2" xfId="0" applyNumberFormat="1" applyFont="1" applyFill="1" applyBorder="1" applyAlignment="1">
      <alignment horizontal="right"/>
    </xf>
    <xf numFmtId="4" fontId="17" fillId="0" borderId="2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4" fontId="2" fillId="4" borderId="2" xfId="0" applyNumberFormat="1" applyFont="1" applyFill="1" applyBorder="1" applyAlignment="1">
      <alignment horizontal="right"/>
    </xf>
    <xf numFmtId="4" fontId="2" fillId="5" borderId="2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center" vertical="top"/>
    </xf>
    <xf numFmtId="169" fontId="2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14" fillId="2" borderId="0" xfId="0" applyFont="1" applyFill="1"/>
    <xf numFmtId="0" fontId="2" fillId="0" borderId="2" xfId="0" applyFont="1" applyBorder="1" applyAlignment="1">
      <alignment horizontal="justify" vertical="center" wrapText="1"/>
    </xf>
    <xf numFmtId="2" fontId="2" fillId="2" borderId="3" xfId="2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2" fontId="2" fillId="0" borderId="3" xfId="2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/>
    </xf>
    <xf numFmtId="166" fontId="2" fillId="0" borderId="0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1" fillId="3" borderId="2" xfId="0" applyNumberFormat="1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0" fontId="16" fillId="0" borderId="7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49" fontId="11" fillId="5" borderId="2" xfId="0" applyNumberFormat="1" applyFont="1" applyFill="1" applyBorder="1" applyAlignment="1">
      <alignment horizontal="left" vertical="center" wrapText="1"/>
    </xf>
    <xf numFmtId="4" fontId="2" fillId="5" borderId="2" xfId="0" applyNumberFormat="1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49" fontId="11" fillId="4" borderId="2" xfId="0" applyNumberFormat="1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2" fontId="11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right" vertical="center"/>
    </xf>
    <xf numFmtId="4" fontId="14" fillId="2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4" fontId="17" fillId="0" borderId="2" xfId="0" applyNumberFormat="1" applyFont="1" applyFill="1" applyBorder="1" applyAlignment="1">
      <alignment horizontal="right" vertical="center"/>
    </xf>
    <xf numFmtId="4" fontId="17" fillId="2" borderId="2" xfId="0" applyNumberFormat="1" applyFont="1" applyFill="1" applyBorder="1" applyAlignment="1">
      <alignment horizontal="right" vertical="center"/>
    </xf>
    <xf numFmtId="49" fontId="2" fillId="5" borderId="2" xfId="0" applyNumberFormat="1" applyFont="1" applyFill="1" applyBorder="1" applyAlignment="1">
      <alignment horizontal="left" vertical="center" wrapText="1"/>
    </xf>
    <xf numFmtId="4" fontId="2" fillId="5" borderId="2" xfId="0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49" fontId="2" fillId="6" borderId="2" xfId="0" applyNumberFormat="1" applyFont="1" applyFill="1" applyBorder="1" applyAlignment="1">
      <alignment horizontal="left" vertical="center" wrapText="1"/>
    </xf>
    <xf numFmtId="49" fontId="11" fillId="6" borderId="2" xfId="0" applyNumberFormat="1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4" fontId="2" fillId="6" borderId="2" xfId="0" applyNumberFormat="1" applyFont="1" applyFill="1" applyBorder="1" applyAlignment="1">
      <alignment horizontal="right" vertical="center"/>
    </xf>
    <xf numFmtId="4" fontId="2" fillId="6" borderId="2" xfId="0" applyNumberFormat="1" applyFont="1" applyFill="1" applyBorder="1" applyAlignment="1">
      <alignment horizontal="right" vertical="center" wrapText="1"/>
    </xf>
    <xf numFmtId="0" fontId="22" fillId="6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center" vertical="top"/>
    </xf>
    <xf numFmtId="4" fontId="20" fillId="2" borderId="2" xfId="0" applyNumberFormat="1" applyFont="1" applyFill="1" applyBorder="1" applyAlignment="1">
      <alignment horizontal="right" vertical="center"/>
    </xf>
    <xf numFmtId="4" fontId="20" fillId="0" borderId="2" xfId="0" applyNumberFormat="1" applyFont="1" applyFill="1" applyBorder="1" applyAlignment="1">
      <alignment horizontal="right" vertical="center"/>
    </xf>
    <xf numFmtId="4" fontId="20" fillId="2" borderId="2" xfId="0" applyNumberFormat="1" applyFont="1" applyFill="1" applyBorder="1"/>
    <xf numFmtId="0" fontId="20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/>
    <xf numFmtId="0" fontId="2" fillId="0" borderId="0" xfId="0" applyFont="1" applyFill="1" applyAlignment="1">
      <alignment vertical="center"/>
    </xf>
    <xf numFmtId="4" fontId="20" fillId="2" borderId="2" xfId="0" applyNumberFormat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/>
    </xf>
    <xf numFmtId="4" fontId="15" fillId="0" borderId="0" xfId="0" applyNumberFormat="1" applyFont="1" applyFill="1" applyBorder="1" applyAlignment="1">
      <alignment horizontal="left"/>
    </xf>
    <xf numFmtId="4" fontId="15" fillId="2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4" fillId="0" borderId="0" xfId="2" applyFont="1" applyFill="1" applyBorder="1" applyAlignment="1">
      <alignment horizontal="center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5" fillId="0" borderId="0" xfId="0" applyFont="1" applyFill="1"/>
    <xf numFmtId="0" fontId="26" fillId="0" borderId="0" xfId="0" applyFont="1" applyFill="1"/>
    <xf numFmtId="0" fontId="6" fillId="0" borderId="0" xfId="2" applyFont="1" applyFill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170" fontId="2" fillId="0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9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170" fontId="2" fillId="2" borderId="2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wrapText="1"/>
    </xf>
    <xf numFmtId="164" fontId="29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3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/>
    </xf>
    <xf numFmtId="0" fontId="20" fillId="2" borderId="0" xfId="0" applyFont="1" applyFill="1"/>
    <xf numFmtId="0" fontId="30" fillId="0" borderId="0" xfId="0" applyFont="1" applyFill="1" applyBorder="1" applyAlignment="1">
      <alignment horizontal="right"/>
    </xf>
    <xf numFmtId="0" fontId="23" fillId="0" borderId="0" xfId="0" applyFont="1" applyFill="1"/>
    <xf numFmtId="0" fontId="8" fillId="0" borderId="2" xfId="0" applyFont="1" applyFill="1" applyBorder="1"/>
    <xf numFmtId="0" fontId="2" fillId="8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2" borderId="0" xfId="0" applyNumberFormat="1" applyFont="1" applyFill="1" applyBorder="1"/>
    <xf numFmtId="164" fontId="2" fillId="0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/>
    <xf numFmtId="164" fontId="2" fillId="5" borderId="2" xfId="0" applyNumberFormat="1" applyFont="1" applyFill="1" applyBorder="1" applyAlignment="1">
      <alignment horizontal="right" vertical="center"/>
    </xf>
    <xf numFmtId="0" fontId="20" fillId="0" borderId="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0" fontId="32" fillId="2" borderId="0" xfId="0" applyFont="1" applyFill="1"/>
    <xf numFmtId="0" fontId="31" fillId="0" borderId="0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2" fillId="0" borderId="2" xfId="2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top" wrapText="1"/>
    </xf>
    <xf numFmtId="0" fontId="4" fillId="0" borderId="0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0" fillId="0" borderId="7" xfId="0" applyBorder="1"/>
    <xf numFmtId="0" fontId="0" fillId="0" borderId="8" xfId="0" applyBorder="1"/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 wrapText="1"/>
    </xf>
    <xf numFmtId="0" fontId="2" fillId="2" borderId="8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168" fontId="7" fillId="0" borderId="0" xfId="0" applyNumberFormat="1" applyFont="1" applyFill="1" applyBorder="1" applyAlignment="1">
      <alignment horizontal="left" vertical="top" wrapText="1"/>
    </xf>
    <xf numFmtId="0" fontId="15" fillId="0" borderId="0" xfId="2" applyFont="1" applyFill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/>
    </xf>
    <xf numFmtId="49" fontId="16" fillId="2" borderId="2" xfId="0" applyNumberFormat="1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 wrapText="1"/>
    </xf>
    <xf numFmtId="49" fontId="7" fillId="6" borderId="6" xfId="0" applyNumberFormat="1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top"/>
    </xf>
    <xf numFmtId="49" fontId="2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 wrapText="1"/>
    </xf>
    <xf numFmtId="2" fontId="2" fillId="0" borderId="8" xfId="0" applyNumberFormat="1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/>
    </xf>
    <xf numFmtId="0" fontId="6" fillId="0" borderId="0" xfId="2" applyFont="1" applyFill="1" applyAlignment="1">
      <alignment horizontal="left" vertical="top" wrapText="1"/>
    </xf>
    <xf numFmtId="0" fontId="30" fillId="0" borderId="0" xfId="0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top"/>
    </xf>
    <xf numFmtId="49" fontId="6" fillId="2" borderId="6" xfId="0" applyNumberFormat="1" applyFont="1" applyFill="1" applyBorder="1" applyAlignment="1">
      <alignment horizontal="center" vertical="top"/>
    </xf>
    <xf numFmtId="49" fontId="6" fillId="2" borderId="8" xfId="0" applyNumberFormat="1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 vertical="center" wrapText="1"/>
    </xf>
    <xf numFmtId="168" fontId="6" fillId="0" borderId="0" xfId="0" applyNumberFormat="1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/>
    </xf>
    <xf numFmtId="0" fontId="20" fillId="0" borderId="2" xfId="0" applyNumberFormat="1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="70" zoomScaleNormal="70" workbookViewId="0">
      <selection activeCell="M12" sqref="M12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3.7109375" style="1" customWidth="1"/>
    <col min="9" max="10" width="15.42578125" style="1" customWidth="1"/>
    <col min="11" max="11" width="15.42578125" style="36" customWidth="1"/>
    <col min="12" max="17" width="15.42578125" style="1" customWidth="1"/>
    <col min="18" max="18" width="17" style="1" customWidth="1"/>
    <col min="19" max="256" width="9.28515625" style="1"/>
    <col min="257" max="257" width="18.5703125" style="1" customWidth="1"/>
    <col min="258" max="258" width="22.28515625" style="1" customWidth="1"/>
    <col min="259" max="259" width="25.28515625" style="1" customWidth="1"/>
    <col min="260" max="263" width="9.28515625" style="1"/>
    <col min="264" max="264" width="13.7109375" style="1" customWidth="1"/>
    <col min="265" max="273" width="15.42578125" style="1" customWidth="1"/>
    <col min="274" max="274" width="17" style="1" customWidth="1"/>
    <col min="275" max="512" width="9.28515625" style="1"/>
    <col min="513" max="513" width="18.5703125" style="1" customWidth="1"/>
    <col min="514" max="514" width="22.28515625" style="1" customWidth="1"/>
    <col min="515" max="515" width="25.28515625" style="1" customWidth="1"/>
    <col min="516" max="519" width="9.28515625" style="1"/>
    <col min="520" max="520" width="13.7109375" style="1" customWidth="1"/>
    <col min="521" max="529" width="15.42578125" style="1" customWidth="1"/>
    <col min="530" max="530" width="17" style="1" customWidth="1"/>
    <col min="531" max="768" width="9.28515625" style="1"/>
    <col min="769" max="769" width="18.5703125" style="1" customWidth="1"/>
    <col min="770" max="770" width="22.28515625" style="1" customWidth="1"/>
    <col min="771" max="771" width="25.28515625" style="1" customWidth="1"/>
    <col min="772" max="775" width="9.28515625" style="1"/>
    <col min="776" max="776" width="13.7109375" style="1" customWidth="1"/>
    <col min="777" max="785" width="15.42578125" style="1" customWidth="1"/>
    <col min="786" max="786" width="17" style="1" customWidth="1"/>
    <col min="787" max="1024" width="9.28515625" style="1"/>
    <col min="1025" max="1025" width="18.5703125" style="1" customWidth="1"/>
    <col min="1026" max="1026" width="22.28515625" style="1" customWidth="1"/>
    <col min="1027" max="1027" width="25.28515625" style="1" customWidth="1"/>
    <col min="1028" max="1031" width="9.28515625" style="1"/>
    <col min="1032" max="1032" width="13.7109375" style="1" customWidth="1"/>
    <col min="1033" max="1041" width="15.42578125" style="1" customWidth="1"/>
    <col min="1042" max="1042" width="17" style="1" customWidth="1"/>
    <col min="1043" max="1280" width="9.28515625" style="1"/>
    <col min="1281" max="1281" width="18.5703125" style="1" customWidth="1"/>
    <col min="1282" max="1282" width="22.28515625" style="1" customWidth="1"/>
    <col min="1283" max="1283" width="25.28515625" style="1" customWidth="1"/>
    <col min="1284" max="1287" width="9.28515625" style="1"/>
    <col min="1288" max="1288" width="13.7109375" style="1" customWidth="1"/>
    <col min="1289" max="1297" width="15.42578125" style="1" customWidth="1"/>
    <col min="1298" max="1298" width="17" style="1" customWidth="1"/>
    <col min="1299" max="1536" width="9.28515625" style="1"/>
    <col min="1537" max="1537" width="18.5703125" style="1" customWidth="1"/>
    <col min="1538" max="1538" width="22.28515625" style="1" customWidth="1"/>
    <col min="1539" max="1539" width="25.28515625" style="1" customWidth="1"/>
    <col min="1540" max="1543" width="9.28515625" style="1"/>
    <col min="1544" max="1544" width="13.7109375" style="1" customWidth="1"/>
    <col min="1545" max="1553" width="15.42578125" style="1" customWidth="1"/>
    <col min="1554" max="1554" width="17" style="1" customWidth="1"/>
    <col min="1555" max="1792" width="9.28515625" style="1"/>
    <col min="1793" max="1793" width="18.5703125" style="1" customWidth="1"/>
    <col min="1794" max="1794" width="22.28515625" style="1" customWidth="1"/>
    <col min="1795" max="1795" width="25.28515625" style="1" customWidth="1"/>
    <col min="1796" max="1799" width="9.28515625" style="1"/>
    <col min="1800" max="1800" width="13.7109375" style="1" customWidth="1"/>
    <col min="1801" max="1809" width="15.42578125" style="1" customWidth="1"/>
    <col min="1810" max="1810" width="17" style="1" customWidth="1"/>
    <col min="1811" max="2048" width="9.28515625" style="1"/>
    <col min="2049" max="2049" width="18.5703125" style="1" customWidth="1"/>
    <col min="2050" max="2050" width="22.28515625" style="1" customWidth="1"/>
    <col min="2051" max="2051" width="25.28515625" style="1" customWidth="1"/>
    <col min="2052" max="2055" width="9.28515625" style="1"/>
    <col min="2056" max="2056" width="13.7109375" style="1" customWidth="1"/>
    <col min="2057" max="2065" width="15.42578125" style="1" customWidth="1"/>
    <col min="2066" max="2066" width="17" style="1" customWidth="1"/>
    <col min="2067" max="2304" width="9.28515625" style="1"/>
    <col min="2305" max="2305" width="18.5703125" style="1" customWidth="1"/>
    <col min="2306" max="2306" width="22.28515625" style="1" customWidth="1"/>
    <col min="2307" max="2307" width="25.28515625" style="1" customWidth="1"/>
    <col min="2308" max="2311" width="9.28515625" style="1"/>
    <col min="2312" max="2312" width="13.7109375" style="1" customWidth="1"/>
    <col min="2313" max="2321" width="15.42578125" style="1" customWidth="1"/>
    <col min="2322" max="2322" width="17" style="1" customWidth="1"/>
    <col min="2323" max="2560" width="9.28515625" style="1"/>
    <col min="2561" max="2561" width="18.5703125" style="1" customWidth="1"/>
    <col min="2562" max="2562" width="22.28515625" style="1" customWidth="1"/>
    <col min="2563" max="2563" width="25.28515625" style="1" customWidth="1"/>
    <col min="2564" max="2567" width="9.28515625" style="1"/>
    <col min="2568" max="2568" width="13.7109375" style="1" customWidth="1"/>
    <col min="2569" max="2577" width="15.42578125" style="1" customWidth="1"/>
    <col min="2578" max="2578" width="17" style="1" customWidth="1"/>
    <col min="2579" max="2816" width="9.28515625" style="1"/>
    <col min="2817" max="2817" width="18.5703125" style="1" customWidth="1"/>
    <col min="2818" max="2818" width="22.28515625" style="1" customWidth="1"/>
    <col min="2819" max="2819" width="25.28515625" style="1" customWidth="1"/>
    <col min="2820" max="2823" width="9.28515625" style="1"/>
    <col min="2824" max="2824" width="13.7109375" style="1" customWidth="1"/>
    <col min="2825" max="2833" width="15.42578125" style="1" customWidth="1"/>
    <col min="2834" max="2834" width="17" style="1" customWidth="1"/>
    <col min="2835" max="3072" width="9.28515625" style="1"/>
    <col min="3073" max="3073" width="18.5703125" style="1" customWidth="1"/>
    <col min="3074" max="3074" width="22.28515625" style="1" customWidth="1"/>
    <col min="3075" max="3075" width="25.28515625" style="1" customWidth="1"/>
    <col min="3076" max="3079" width="9.28515625" style="1"/>
    <col min="3080" max="3080" width="13.7109375" style="1" customWidth="1"/>
    <col min="3081" max="3089" width="15.42578125" style="1" customWidth="1"/>
    <col min="3090" max="3090" width="17" style="1" customWidth="1"/>
    <col min="3091" max="3328" width="9.28515625" style="1"/>
    <col min="3329" max="3329" width="18.5703125" style="1" customWidth="1"/>
    <col min="3330" max="3330" width="22.28515625" style="1" customWidth="1"/>
    <col min="3331" max="3331" width="25.28515625" style="1" customWidth="1"/>
    <col min="3332" max="3335" width="9.28515625" style="1"/>
    <col min="3336" max="3336" width="13.7109375" style="1" customWidth="1"/>
    <col min="3337" max="3345" width="15.42578125" style="1" customWidth="1"/>
    <col min="3346" max="3346" width="17" style="1" customWidth="1"/>
    <col min="3347" max="3584" width="9.28515625" style="1"/>
    <col min="3585" max="3585" width="18.5703125" style="1" customWidth="1"/>
    <col min="3586" max="3586" width="22.28515625" style="1" customWidth="1"/>
    <col min="3587" max="3587" width="25.28515625" style="1" customWidth="1"/>
    <col min="3588" max="3591" width="9.28515625" style="1"/>
    <col min="3592" max="3592" width="13.7109375" style="1" customWidth="1"/>
    <col min="3593" max="3601" width="15.42578125" style="1" customWidth="1"/>
    <col min="3602" max="3602" width="17" style="1" customWidth="1"/>
    <col min="3603" max="3840" width="9.28515625" style="1"/>
    <col min="3841" max="3841" width="18.5703125" style="1" customWidth="1"/>
    <col min="3842" max="3842" width="22.28515625" style="1" customWidth="1"/>
    <col min="3843" max="3843" width="25.28515625" style="1" customWidth="1"/>
    <col min="3844" max="3847" width="9.28515625" style="1"/>
    <col min="3848" max="3848" width="13.7109375" style="1" customWidth="1"/>
    <col min="3849" max="3857" width="15.42578125" style="1" customWidth="1"/>
    <col min="3858" max="3858" width="17" style="1" customWidth="1"/>
    <col min="3859" max="4096" width="9.28515625" style="1"/>
    <col min="4097" max="4097" width="18.5703125" style="1" customWidth="1"/>
    <col min="4098" max="4098" width="22.28515625" style="1" customWidth="1"/>
    <col min="4099" max="4099" width="25.28515625" style="1" customWidth="1"/>
    <col min="4100" max="4103" width="9.28515625" style="1"/>
    <col min="4104" max="4104" width="13.7109375" style="1" customWidth="1"/>
    <col min="4105" max="4113" width="15.42578125" style="1" customWidth="1"/>
    <col min="4114" max="4114" width="17" style="1" customWidth="1"/>
    <col min="4115" max="4352" width="9.28515625" style="1"/>
    <col min="4353" max="4353" width="18.5703125" style="1" customWidth="1"/>
    <col min="4354" max="4354" width="22.28515625" style="1" customWidth="1"/>
    <col min="4355" max="4355" width="25.28515625" style="1" customWidth="1"/>
    <col min="4356" max="4359" width="9.28515625" style="1"/>
    <col min="4360" max="4360" width="13.7109375" style="1" customWidth="1"/>
    <col min="4361" max="4369" width="15.42578125" style="1" customWidth="1"/>
    <col min="4370" max="4370" width="17" style="1" customWidth="1"/>
    <col min="4371" max="4608" width="9.28515625" style="1"/>
    <col min="4609" max="4609" width="18.5703125" style="1" customWidth="1"/>
    <col min="4610" max="4610" width="22.28515625" style="1" customWidth="1"/>
    <col min="4611" max="4611" width="25.28515625" style="1" customWidth="1"/>
    <col min="4612" max="4615" width="9.28515625" style="1"/>
    <col min="4616" max="4616" width="13.7109375" style="1" customWidth="1"/>
    <col min="4617" max="4625" width="15.42578125" style="1" customWidth="1"/>
    <col min="4626" max="4626" width="17" style="1" customWidth="1"/>
    <col min="4627" max="4864" width="9.28515625" style="1"/>
    <col min="4865" max="4865" width="18.5703125" style="1" customWidth="1"/>
    <col min="4866" max="4866" width="22.28515625" style="1" customWidth="1"/>
    <col min="4867" max="4867" width="25.28515625" style="1" customWidth="1"/>
    <col min="4868" max="4871" width="9.28515625" style="1"/>
    <col min="4872" max="4872" width="13.7109375" style="1" customWidth="1"/>
    <col min="4873" max="4881" width="15.42578125" style="1" customWidth="1"/>
    <col min="4882" max="4882" width="17" style="1" customWidth="1"/>
    <col min="4883" max="5120" width="9.28515625" style="1"/>
    <col min="5121" max="5121" width="18.5703125" style="1" customWidth="1"/>
    <col min="5122" max="5122" width="22.28515625" style="1" customWidth="1"/>
    <col min="5123" max="5123" width="25.28515625" style="1" customWidth="1"/>
    <col min="5124" max="5127" width="9.28515625" style="1"/>
    <col min="5128" max="5128" width="13.7109375" style="1" customWidth="1"/>
    <col min="5129" max="5137" width="15.42578125" style="1" customWidth="1"/>
    <col min="5138" max="5138" width="17" style="1" customWidth="1"/>
    <col min="5139" max="5376" width="9.28515625" style="1"/>
    <col min="5377" max="5377" width="18.5703125" style="1" customWidth="1"/>
    <col min="5378" max="5378" width="22.28515625" style="1" customWidth="1"/>
    <col min="5379" max="5379" width="25.28515625" style="1" customWidth="1"/>
    <col min="5380" max="5383" width="9.28515625" style="1"/>
    <col min="5384" max="5384" width="13.7109375" style="1" customWidth="1"/>
    <col min="5385" max="5393" width="15.42578125" style="1" customWidth="1"/>
    <col min="5394" max="5394" width="17" style="1" customWidth="1"/>
    <col min="5395" max="5632" width="9.28515625" style="1"/>
    <col min="5633" max="5633" width="18.5703125" style="1" customWidth="1"/>
    <col min="5634" max="5634" width="22.28515625" style="1" customWidth="1"/>
    <col min="5635" max="5635" width="25.28515625" style="1" customWidth="1"/>
    <col min="5636" max="5639" width="9.28515625" style="1"/>
    <col min="5640" max="5640" width="13.7109375" style="1" customWidth="1"/>
    <col min="5641" max="5649" width="15.42578125" style="1" customWidth="1"/>
    <col min="5650" max="5650" width="17" style="1" customWidth="1"/>
    <col min="5651" max="5888" width="9.28515625" style="1"/>
    <col min="5889" max="5889" width="18.5703125" style="1" customWidth="1"/>
    <col min="5890" max="5890" width="22.28515625" style="1" customWidth="1"/>
    <col min="5891" max="5891" width="25.28515625" style="1" customWidth="1"/>
    <col min="5892" max="5895" width="9.28515625" style="1"/>
    <col min="5896" max="5896" width="13.7109375" style="1" customWidth="1"/>
    <col min="5897" max="5905" width="15.42578125" style="1" customWidth="1"/>
    <col min="5906" max="5906" width="17" style="1" customWidth="1"/>
    <col min="5907" max="6144" width="9.28515625" style="1"/>
    <col min="6145" max="6145" width="18.5703125" style="1" customWidth="1"/>
    <col min="6146" max="6146" width="22.28515625" style="1" customWidth="1"/>
    <col min="6147" max="6147" width="25.28515625" style="1" customWidth="1"/>
    <col min="6148" max="6151" width="9.28515625" style="1"/>
    <col min="6152" max="6152" width="13.7109375" style="1" customWidth="1"/>
    <col min="6153" max="6161" width="15.42578125" style="1" customWidth="1"/>
    <col min="6162" max="6162" width="17" style="1" customWidth="1"/>
    <col min="6163" max="6400" width="9.28515625" style="1"/>
    <col min="6401" max="6401" width="18.5703125" style="1" customWidth="1"/>
    <col min="6402" max="6402" width="22.28515625" style="1" customWidth="1"/>
    <col min="6403" max="6403" width="25.28515625" style="1" customWidth="1"/>
    <col min="6404" max="6407" width="9.28515625" style="1"/>
    <col min="6408" max="6408" width="13.7109375" style="1" customWidth="1"/>
    <col min="6409" max="6417" width="15.42578125" style="1" customWidth="1"/>
    <col min="6418" max="6418" width="17" style="1" customWidth="1"/>
    <col min="6419" max="6656" width="9.28515625" style="1"/>
    <col min="6657" max="6657" width="18.5703125" style="1" customWidth="1"/>
    <col min="6658" max="6658" width="22.28515625" style="1" customWidth="1"/>
    <col min="6659" max="6659" width="25.28515625" style="1" customWidth="1"/>
    <col min="6660" max="6663" width="9.28515625" style="1"/>
    <col min="6664" max="6664" width="13.7109375" style="1" customWidth="1"/>
    <col min="6665" max="6673" width="15.42578125" style="1" customWidth="1"/>
    <col min="6674" max="6674" width="17" style="1" customWidth="1"/>
    <col min="6675" max="6912" width="9.28515625" style="1"/>
    <col min="6913" max="6913" width="18.5703125" style="1" customWidth="1"/>
    <col min="6914" max="6914" width="22.28515625" style="1" customWidth="1"/>
    <col min="6915" max="6915" width="25.28515625" style="1" customWidth="1"/>
    <col min="6916" max="6919" width="9.28515625" style="1"/>
    <col min="6920" max="6920" width="13.7109375" style="1" customWidth="1"/>
    <col min="6921" max="6929" width="15.42578125" style="1" customWidth="1"/>
    <col min="6930" max="6930" width="17" style="1" customWidth="1"/>
    <col min="6931" max="7168" width="9.28515625" style="1"/>
    <col min="7169" max="7169" width="18.5703125" style="1" customWidth="1"/>
    <col min="7170" max="7170" width="22.28515625" style="1" customWidth="1"/>
    <col min="7171" max="7171" width="25.28515625" style="1" customWidth="1"/>
    <col min="7172" max="7175" width="9.28515625" style="1"/>
    <col min="7176" max="7176" width="13.7109375" style="1" customWidth="1"/>
    <col min="7177" max="7185" width="15.42578125" style="1" customWidth="1"/>
    <col min="7186" max="7186" width="17" style="1" customWidth="1"/>
    <col min="7187" max="7424" width="9.28515625" style="1"/>
    <col min="7425" max="7425" width="18.5703125" style="1" customWidth="1"/>
    <col min="7426" max="7426" width="22.28515625" style="1" customWidth="1"/>
    <col min="7427" max="7427" width="25.28515625" style="1" customWidth="1"/>
    <col min="7428" max="7431" width="9.28515625" style="1"/>
    <col min="7432" max="7432" width="13.7109375" style="1" customWidth="1"/>
    <col min="7433" max="7441" width="15.42578125" style="1" customWidth="1"/>
    <col min="7442" max="7442" width="17" style="1" customWidth="1"/>
    <col min="7443" max="7680" width="9.28515625" style="1"/>
    <col min="7681" max="7681" width="18.5703125" style="1" customWidth="1"/>
    <col min="7682" max="7682" width="22.28515625" style="1" customWidth="1"/>
    <col min="7683" max="7683" width="25.28515625" style="1" customWidth="1"/>
    <col min="7684" max="7687" width="9.28515625" style="1"/>
    <col min="7688" max="7688" width="13.7109375" style="1" customWidth="1"/>
    <col min="7689" max="7697" width="15.42578125" style="1" customWidth="1"/>
    <col min="7698" max="7698" width="17" style="1" customWidth="1"/>
    <col min="7699" max="7936" width="9.28515625" style="1"/>
    <col min="7937" max="7937" width="18.5703125" style="1" customWidth="1"/>
    <col min="7938" max="7938" width="22.28515625" style="1" customWidth="1"/>
    <col min="7939" max="7939" width="25.28515625" style="1" customWidth="1"/>
    <col min="7940" max="7943" width="9.28515625" style="1"/>
    <col min="7944" max="7944" width="13.7109375" style="1" customWidth="1"/>
    <col min="7945" max="7953" width="15.42578125" style="1" customWidth="1"/>
    <col min="7954" max="7954" width="17" style="1" customWidth="1"/>
    <col min="7955" max="8192" width="9.28515625" style="1"/>
    <col min="8193" max="8193" width="18.5703125" style="1" customWidth="1"/>
    <col min="8194" max="8194" width="22.28515625" style="1" customWidth="1"/>
    <col min="8195" max="8195" width="25.28515625" style="1" customWidth="1"/>
    <col min="8196" max="8199" width="9.28515625" style="1"/>
    <col min="8200" max="8200" width="13.7109375" style="1" customWidth="1"/>
    <col min="8201" max="8209" width="15.42578125" style="1" customWidth="1"/>
    <col min="8210" max="8210" width="17" style="1" customWidth="1"/>
    <col min="8211" max="8448" width="9.28515625" style="1"/>
    <col min="8449" max="8449" width="18.5703125" style="1" customWidth="1"/>
    <col min="8450" max="8450" width="22.28515625" style="1" customWidth="1"/>
    <col min="8451" max="8451" width="25.28515625" style="1" customWidth="1"/>
    <col min="8452" max="8455" width="9.28515625" style="1"/>
    <col min="8456" max="8456" width="13.7109375" style="1" customWidth="1"/>
    <col min="8457" max="8465" width="15.42578125" style="1" customWidth="1"/>
    <col min="8466" max="8466" width="17" style="1" customWidth="1"/>
    <col min="8467" max="8704" width="9.28515625" style="1"/>
    <col min="8705" max="8705" width="18.5703125" style="1" customWidth="1"/>
    <col min="8706" max="8706" width="22.28515625" style="1" customWidth="1"/>
    <col min="8707" max="8707" width="25.28515625" style="1" customWidth="1"/>
    <col min="8708" max="8711" width="9.28515625" style="1"/>
    <col min="8712" max="8712" width="13.7109375" style="1" customWidth="1"/>
    <col min="8713" max="8721" width="15.42578125" style="1" customWidth="1"/>
    <col min="8722" max="8722" width="17" style="1" customWidth="1"/>
    <col min="8723" max="8960" width="9.28515625" style="1"/>
    <col min="8961" max="8961" width="18.5703125" style="1" customWidth="1"/>
    <col min="8962" max="8962" width="22.28515625" style="1" customWidth="1"/>
    <col min="8963" max="8963" width="25.28515625" style="1" customWidth="1"/>
    <col min="8964" max="8967" width="9.28515625" style="1"/>
    <col min="8968" max="8968" width="13.7109375" style="1" customWidth="1"/>
    <col min="8969" max="8977" width="15.42578125" style="1" customWidth="1"/>
    <col min="8978" max="8978" width="17" style="1" customWidth="1"/>
    <col min="8979" max="9216" width="9.28515625" style="1"/>
    <col min="9217" max="9217" width="18.5703125" style="1" customWidth="1"/>
    <col min="9218" max="9218" width="22.28515625" style="1" customWidth="1"/>
    <col min="9219" max="9219" width="25.28515625" style="1" customWidth="1"/>
    <col min="9220" max="9223" width="9.28515625" style="1"/>
    <col min="9224" max="9224" width="13.7109375" style="1" customWidth="1"/>
    <col min="9225" max="9233" width="15.42578125" style="1" customWidth="1"/>
    <col min="9234" max="9234" width="17" style="1" customWidth="1"/>
    <col min="9235" max="9472" width="9.28515625" style="1"/>
    <col min="9473" max="9473" width="18.5703125" style="1" customWidth="1"/>
    <col min="9474" max="9474" width="22.28515625" style="1" customWidth="1"/>
    <col min="9475" max="9475" width="25.28515625" style="1" customWidth="1"/>
    <col min="9476" max="9479" width="9.28515625" style="1"/>
    <col min="9480" max="9480" width="13.7109375" style="1" customWidth="1"/>
    <col min="9481" max="9489" width="15.42578125" style="1" customWidth="1"/>
    <col min="9490" max="9490" width="17" style="1" customWidth="1"/>
    <col min="9491" max="9728" width="9.28515625" style="1"/>
    <col min="9729" max="9729" width="18.5703125" style="1" customWidth="1"/>
    <col min="9730" max="9730" width="22.28515625" style="1" customWidth="1"/>
    <col min="9731" max="9731" width="25.28515625" style="1" customWidth="1"/>
    <col min="9732" max="9735" width="9.28515625" style="1"/>
    <col min="9736" max="9736" width="13.7109375" style="1" customWidth="1"/>
    <col min="9737" max="9745" width="15.42578125" style="1" customWidth="1"/>
    <col min="9746" max="9746" width="17" style="1" customWidth="1"/>
    <col min="9747" max="9984" width="9.28515625" style="1"/>
    <col min="9985" max="9985" width="18.5703125" style="1" customWidth="1"/>
    <col min="9986" max="9986" width="22.28515625" style="1" customWidth="1"/>
    <col min="9987" max="9987" width="25.28515625" style="1" customWidth="1"/>
    <col min="9988" max="9991" width="9.28515625" style="1"/>
    <col min="9992" max="9992" width="13.7109375" style="1" customWidth="1"/>
    <col min="9993" max="10001" width="15.42578125" style="1" customWidth="1"/>
    <col min="10002" max="10002" width="17" style="1" customWidth="1"/>
    <col min="10003" max="10240" width="9.28515625" style="1"/>
    <col min="10241" max="10241" width="18.5703125" style="1" customWidth="1"/>
    <col min="10242" max="10242" width="22.28515625" style="1" customWidth="1"/>
    <col min="10243" max="10243" width="25.28515625" style="1" customWidth="1"/>
    <col min="10244" max="10247" width="9.28515625" style="1"/>
    <col min="10248" max="10248" width="13.7109375" style="1" customWidth="1"/>
    <col min="10249" max="10257" width="15.42578125" style="1" customWidth="1"/>
    <col min="10258" max="10258" width="17" style="1" customWidth="1"/>
    <col min="10259" max="10496" width="9.28515625" style="1"/>
    <col min="10497" max="10497" width="18.5703125" style="1" customWidth="1"/>
    <col min="10498" max="10498" width="22.28515625" style="1" customWidth="1"/>
    <col min="10499" max="10499" width="25.28515625" style="1" customWidth="1"/>
    <col min="10500" max="10503" width="9.28515625" style="1"/>
    <col min="10504" max="10504" width="13.7109375" style="1" customWidth="1"/>
    <col min="10505" max="10513" width="15.42578125" style="1" customWidth="1"/>
    <col min="10514" max="10514" width="17" style="1" customWidth="1"/>
    <col min="10515" max="10752" width="9.28515625" style="1"/>
    <col min="10753" max="10753" width="18.5703125" style="1" customWidth="1"/>
    <col min="10754" max="10754" width="22.28515625" style="1" customWidth="1"/>
    <col min="10755" max="10755" width="25.28515625" style="1" customWidth="1"/>
    <col min="10756" max="10759" width="9.28515625" style="1"/>
    <col min="10760" max="10760" width="13.7109375" style="1" customWidth="1"/>
    <col min="10761" max="10769" width="15.42578125" style="1" customWidth="1"/>
    <col min="10770" max="10770" width="17" style="1" customWidth="1"/>
    <col min="10771" max="11008" width="9.28515625" style="1"/>
    <col min="11009" max="11009" width="18.5703125" style="1" customWidth="1"/>
    <col min="11010" max="11010" width="22.28515625" style="1" customWidth="1"/>
    <col min="11011" max="11011" width="25.28515625" style="1" customWidth="1"/>
    <col min="11012" max="11015" width="9.28515625" style="1"/>
    <col min="11016" max="11016" width="13.7109375" style="1" customWidth="1"/>
    <col min="11017" max="11025" width="15.42578125" style="1" customWidth="1"/>
    <col min="11026" max="11026" width="17" style="1" customWidth="1"/>
    <col min="11027" max="11264" width="9.28515625" style="1"/>
    <col min="11265" max="11265" width="18.5703125" style="1" customWidth="1"/>
    <col min="11266" max="11266" width="22.28515625" style="1" customWidth="1"/>
    <col min="11267" max="11267" width="25.28515625" style="1" customWidth="1"/>
    <col min="11268" max="11271" width="9.28515625" style="1"/>
    <col min="11272" max="11272" width="13.7109375" style="1" customWidth="1"/>
    <col min="11273" max="11281" width="15.42578125" style="1" customWidth="1"/>
    <col min="11282" max="11282" width="17" style="1" customWidth="1"/>
    <col min="11283" max="11520" width="9.28515625" style="1"/>
    <col min="11521" max="11521" width="18.5703125" style="1" customWidth="1"/>
    <col min="11522" max="11522" width="22.28515625" style="1" customWidth="1"/>
    <col min="11523" max="11523" width="25.28515625" style="1" customWidth="1"/>
    <col min="11524" max="11527" width="9.28515625" style="1"/>
    <col min="11528" max="11528" width="13.7109375" style="1" customWidth="1"/>
    <col min="11529" max="11537" width="15.42578125" style="1" customWidth="1"/>
    <col min="11538" max="11538" width="17" style="1" customWidth="1"/>
    <col min="11539" max="11776" width="9.28515625" style="1"/>
    <col min="11777" max="11777" width="18.5703125" style="1" customWidth="1"/>
    <col min="11778" max="11778" width="22.28515625" style="1" customWidth="1"/>
    <col min="11779" max="11779" width="25.28515625" style="1" customWidth="1"/>
    <col min="11780" max="11783" width="9.28515625" style="1"/>
    <col min="11784" max="11784" width="13.7109375" style="1" customWidth="1"/>
    <col min="11785" max="11793" width="15.42578125" style="1" customWidth="1"/>
    <col min="11794" max="11794" width="17" style="1" customWidth="1"/>
    <col min="11795" max="12032" width="9.28515625" style="1"/>
    <col min="12033" max="12033" width="18.5703125" style="1" customWidth="1"/>
    <col min="12034" max="12034" width="22.28515625" style="1" customWidth="1"/>
    <col min="12035" max="12035" width="25.28515625" style="1" customWidth="1"/>
    <col min="12036" max="12039" width="9.28515625" style="1"/>
    <col min="12040" max="12040" width="13.7109375" style="1" customWidth="1"/>
    <col min="12041" max="12049" width="15.42578125" style="1" customWidth="1"/>
    <col min="12050" max="12050" width="17" style="1" customWidth="1"/>
    <col min="12051" max="12288" width="9.28515625" style="1"/>
    <col min="12289" max="12289" width="18.5703125" style="1" customWidth="1"/>
    <col min="12290" max="12290" width="22.28515625" style="1" customWidth="1"/>
    <col min="12291" max="12291" width="25.28515625" style="1" customWidth="1"/>
    <col min="12292" max="12295" width="9.28515625" style="1"/>
    <col min="12296" max="12296" width="13.7109375" style="1" customWidth="1"/>
    <col min="12297" max="12305" width="15.42578125" style="1" customWidth="1"/>
    <col min="12306" max="12306" width="17" style="1" customWidth="1"/>
    <col min="12307" max="12544" width="9.28515625" style="1"/>
    <col min="12545" max="12545" width="18.5703125" style="1" customWidth="1"/>
    <col min="12546" max="12546" width="22.28515625" style="1" customWidth="1"/>
    <col min="12547" max="12547" width="25.28515625" style="1" customWidth="1"/>
    <col min="12548" max="12551" width="9.28515625" style="1"/>
    <col min="12552" max="12552" width="13.7109375" style="1" customWidth="1"/>
    <col min="12553" max="12561" width="15.42578125" style="1" customWidth="1"/>
    <col min="12562" max="12562" width="17" style="1" customWidth="1"/>
    <col min="12563" max="12800" width="9.28515625" style="1"/>
    <col min="12801" max="12801" width="18.5703125" style="1" customWidth="1"/>
    <col min="12802" max="12802" width="22.28515625" style="1" customWidth="1"/>
    <col min="12803" max="12803" width="25.28515625" style="1" customWidth="1"/>
    <col min="12804" max="12807" width="9.28515625" style="1"/>
    <col min="12808" max="12808" width="13.7109375" style="1" customWidth="1"/>
    <col min="12809" max="12817" width="15.42578125" style="1" customWidth="1"/>
    <col min="12818" max="12818" width="17" style="1" customWidth="1"/>
    <col min="12819" max="13056" width="9.28515625" style="1"/>
    <col min="13057" max="13057" width="18.5703125" style="1" customWidth="1"/>
    <col min="13058" max="13058" width="22.28515625" style="1" customWidth="1"/>
    <col min="13059" max="13059" width="25.28515625" style="1" customWidth="1"/>
    <col min="13060" max="13063" width="9.28515625" style="1"/>
    <col min="13064" max="13064" width="13.7109375" style="1" customWidth="1"/>
    <col min="13065" max="13073" width="15.42578125" style="1" customWidth="1"/>
    <col min="13074" max="13074" width="17" style="1" customWidth="1"/>
    <col min="13075" max="13312" width="9.28515625" style="1"/>
    <col min="13313" max="13313" width="18.5703125" style="1" customWidth="1"/>
    <col min="13314" max="13314" width="22.28515625" style="1" customWidth="1"/>
    <col min="13315" max="13315" width="25.28515625" style="1" customWidth="1"/>
    <col min="13316" max="13319" width="9.28515625" style="1"/>
    <col min="13320" max="13320" width="13.7109375" style="1" customWidth="1"/>
    <col min="13321" max="13329" width="15.42578125" style="1" customWidth="1"/>
    <col min="13330" max="13330" width="17" style="1" customWidth="1"/>
    <col min="13331" max="13568" width="9.28515625" style="1"/>
    <col min="13569" max="13569" width="18.5703125" style="1" customWidth="1"/>
    <col min="13570" max="13570" width="22.28515625" style="1" customWidth="1"/>
    <col min="13571" max="13571" width="25.28515625" style="1" customWidth="1"/>
    <col min="13572" max="13575" width="9.28515625" style="1"/>
    <col min="13576" max="13576" width="13.7109375" style="1" customWidth="1"/>
    <col min="13577" max="13585" width="15.42578125" style="1" customWidth="1"/>
    <col min="13586" max="13586" width="17" style="1" customWidth="1"/>
    <col min="13587" max="13824" width="9.28515625" style="1"/>
    <col min="13825" max="13825" width="18.5703125" style="1" customWidth="1"/>
    <col min="13826" max="13826" width="22.28515625" style="1" customWidth="1"/>
    <col min="13827" max="13827" width="25.28515625" style="1" customWidth="1"/>
    <col min="13828" max="13831" width="9.28515625" style="1"/>
    <col min="13832" max="13832" width="13.7109375" style="1" customWidth="1"/>
    <col min="13833" max="13841" width="15.42578125" style="1" customWidth="1"/>
    <col min="13842" max="13842" width="17" style="1" customWidth="1"/>
    <col min="13843" max="14080" width="9.28515625" style="1"/>
    <col min="14081" max="14081" width="18.5703125" style="1" customWidth="1"/>
    <col min="14082" max="14082" width="22.28515625" style="1" customWidth="1"/>
    <col min="14083" max="14083" width="25.28515625" style="1" customWidth="1"/>
    <col min="14084" max="14087" width="9.28515625" style="1"/>
    <col min="14088" max="14088" width="13.7109375" style="1" customWidth="1"/>
    <col min="14089" max="14097" width="15.42578125" style="1" customWidth="1"/>
    <col min="14098" max="14098" width="17" style="1" customWidth="1"/>
    <col min="14099" max="14336" width="9.28515625" style="1"/>
    <col min="14337" max="14337" width="18.5703125" style="1" customWidth="1"/>
    <col min="14338" max="14338" width="22.28515625" style="1" customWidth="1"/>
    <col min="14339" max="14339" width="25.28515625" style="1" customWidth="1"/>
    <col min="14340" max="14343" width="9.28515625" style="1"/>
    <col min="14344" max="14344" width="13.7109375" style="1" customWidth="1"/>
    <col min="14345" max="14353" width="15.42578125" style="1" customWidth="1"/>
    <col min="14354" max="14354" width="17" style="1" customWidth="1"/>
    <col min="14355" max="14592" width="9.28515625" style="1"/>
    <col min="14593" max="14593" width="18.5703125" style="1" customWidth="1"/>
    <col min="14594" max="14594" width="22.28515625" style="1" customWidth="1"/>
    <col min="14595" max="14595" width="25.28515625" style="1" customWidth="1"/>
    <col min="14596" max="14599" width="9.28515625" style="1"/>
    <col min="14600" max="14600" width="13.7109375" style="1" customWidth="1"/>
    <col min="14601" max="14609" width="15.42578125" style="1" customWidth="1"/>
    <col min="14610" max="14610" width="17" style="1" customWidth="1"/>
    <col min="14611" max="14848" width="9.28515625" style="1"/>
    <col min="14849" max="14849" width="18.5703125" style="1" customWidth="1"/>
    <col min="14850" max="14850" width="22.28515625" style="1" customWidth="1"/>
    <col min="14851" max="14851" width="25.28515625" style="1" customWidth="1"/>
    <col min="14852" max="14855" width="9.28515625" style="1"/>
    <col min="14856" max="14856" width="13.7109375" style="1" customWidth="1"/>
    <col min="14857" max="14865" width="15.42578125" style="1" customWidth="1"/>
    <col min="14866" max="14866" width="17" style="1" customWidth="1"/>
    <col min="14867" max="15104" width="9.28515625" style="1"/>
    <col min="15105" max="15105" width="18.5703125" style="1" customWidth="1"/>
    <col min="15106" max="15106" width="22.28515625" style="1" customWidth="1"/>
    <col min="15107" max="15107" width="25.28515625" style="1" customWidth="1"/>
    <col min="15108" max="15111" width="9.28515625" style="1"/>
    <col min="15112" max="15112" width="13.7109375" style="1" customWidth="1"/>
    <col min="15113" max="15121" width="15.42578125" style="1" customWidth="1"/>
    <col min="15122" max="15122" width="17" style="1" customWidth="1"/>
    <col min="15123" max="15360" width="9.28515625" style="1"/>
    <col min="15361" max="15361" width="18.5703125" style="1" customWidth="1"/>
    <col min="15362" max="15362" width="22.28515625" style="1" customWidth="1"/>
    <col min="15363" max="15363" width="25.28515625" style="1" customWidth="1"/>
    <col min="15364" max="15367" width="9.28515625" style="1"/>
    <col min="15368" max="15368" width="13.7109375" style="1" customWidth="1"/>
    <col min="15369" max="15377" width="15.42578125" style="1" customWidth="1"/>
    <col min="15378" max="15378" width="17" style="1" customWidth="1"/>
    <col min="15379" max="15616" width="9.28515625" style="1"/>
    <col min="15617" max="15617" width="18.5703125" style="1" customWidth="1"/>
    <col min="15618" max="15618" width="22.28515625" style="1" customWidth="1"/>
    <col min="15619" max="15619" width="25.28515625" style="1" customWidth="1"/>
    <col min="15620" max="15623" width="9.28515625" style="1"/>
    <col min="15624" max="15624" width="13.7109375" style="1" customWidth="1"/>
    <col min="15625" max="15633" width="15.42578125" style="1" customWidth="1"/>
    <col min="15634" max="15634" width="17" style="1" customWidth="1"/>
    <col min="15635" max="15872" width="9.28515625" style="1"/>
    <col min="15873" max="15873" width="18.5703125" style="1" customWidth="1"/>
    <col min="15874" max="15874" width="22.28515625" style="1" customWidth="1"/>
    <col min="15875" max="15875" width="25.28515625" style="1" customWidth="1"/>
    <col min="15876" max="15879" width="9.28515625" style="1"/>
    <col min="15880" max="15880" width="13.7109375" style="1" customWidth="1"/>
    <col min="15881" max="15889" width="15.42578125" style="1" customWidth="1"/>
    <col min="15890" max="15890" width="17" style="1" customWidth="1"/>
    <col min="15891" max="16128" width="9.28515625" style="1"/>
    <col min="16129" max="16129" width="18.5703125" style="1" customWidth="1"/>
    <col min="16130" max="16130" width="22.28515625" style="1" customWidth="1"/>
    <col min="16131" max="16131" width="25.28515625" style="1" customWidth="1"/>
    <col min="16132" max="16135" width="9.28515625" style="1"/>
    <col min="16136" max="16136" width="13.7109375" style="1" customWidth="1"/>
    <col min="16137" max="16145" width="15.42578125" style="1" customWidth="1"/>
    <col min="16146" max="16146" width="17" style="1" customWidth="1"/>
    <col min="16147" max="16384" width="9.28515625" style="1"/>
  </cols>
  <sheetData>
    <row r="1" spans="1:19" ht="58.5" customHeight="1" x14ac:dyDescent="0.25">
      <c r="J1" s="2"/>
      <c r="K1" s="3"/>
      <c r="L1" s="4"/>
      <c r="M1" s="367" t="s">
        <v>0</v>
      </c>
      <c r="N1" s="367"/>
      <c r="O1" s="367"/>
      <c r="P1" s="367"/>
      <c r="Q1" s="367"/>
      <c r="R1" s="367"/>
    </row>
    <row r="2" spans="1:19" ht="30" customHeight="1" x14ac:dyDescent="0.25">
      <c r="A2" s="368" t="s">
        <v>1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19" ht="18.75" customHeight="1" x14ac:dyDescent="0.25">
      <c r="A3" s="369" t="s">
        <v>2</v>
      </c>
      <c r="B3" s="369" t="s">
        <v>3</v>
      </c>
      <c r="C3" s="369" t="s">
        <v>4</v>
      </c>
      <c r="D3" s="369" t="s">
        <v>5</v>
      </c>
      <c r="E3" s="369"/>
      <c r="F3" s="369"/>
      <c r="G3" s="369"/>
      <c r="H3" s="370" t="s">
        <v>6</v>
      </c>
      <c r="I3" s="371"/>
      <c r="J3" s="371"/>
      <c r="K3" s="371"/>
      <c r="L3" s="371"/>
      <c r="M3" s="371"/>
      <c r="N3" s="371"/>
      <c r="O3" s="371"/>
      <c r="P3" s="371"/>
      <c r="Q3" s="371"/>
      <c r="R3" s="372"/>
    </row>
    <row r="4" spans="1:19" ht="49.5" customHeight="1" x14ac:dyDescent="0.25">
      <c r="A4" s="369"/>
      <c r="B4" s="369"/>
      <c r="C4" s="369"/>
      <c r="D4" s="5" t="s">
        <v>7</v>
      </c>
      <c r="E4" s="5" t="s">
        <v>8</v>
      </c>
      <c r="F4" s="5" t="s">
        <v>9</v>
      </c>
      <c r="G4" s="5" t="s">
        <v>10</v>
      </c>
      <c r="H4" s="5">
        <v>2014</v>
      </c>
      <c r="I4" s="5">
        <v>2015</v>
      </c>
      <c r="J4" s="5">
        <v>2016</v>
      </c>
      <c r="K4" s="33">
        <v>2017</v>
      </c>
      <c r="L4" s="5">
        <v>2018</v>
      </c>
      <c r="M4" s="33">
        <v>2019</v>
      </c>
      <c r="N4" s="33">
        <v>2020</v>
      </c>
      <c r="O4" s="33">
        <v>2021</v>
      </c>
      <c r="P4" s="33">
        <v>2022</v>
      </c>
      <c r="Q4" s="33">
        <v>2022</v>
      </c>
      <c r="R4" s="5" t="s">
        <v>11</v>
      </c>
    </row>
    <row r="5" spans="1:19" ht="48" customHeight="1" x14ac:dyDescent="0.25">
      <c r="A5" s="360" t="s">
        <v>12</v>
      </c>
      <c r="B5" s="363" t="s">
        <v>13</v>
      </c>
      <c r="C5" s="7" t="s">
        <v>14</v>
      </c>
      <c r="D5" s="8" t="s">
        <v>15</v>
      </c>
      <c r="E5" s="8" t="s">
        <v>15</v>
      </c>
      <c r="F5" s="8" t="s">
        <v>15</v>
      </c>
      <c r="G5" s="8" t="s">
        <v>15</v>
      </c>
      <c r="H5" s="9">
        <f t="shared" ref="H5:O5" si="0">H7+H8+H9+H10</f>
        <v>447829.6</v>
      </c>
      <c r="I5" s="9">
        <f t="shared" si="0"/>
        <v>473625.60000000003</v>
      </c>
      <c r="J5" s="10">
        <f t="shared" si="0"/>
        <v>511729.7</v>
      </c>
      <c r="K5" s="10">
        <f t="shared" si="0"/>
        <v>523227.99999999994</v>
      </c>
      <c r="L5" s="10">
        <f t="shared" si="0"/>
        <v>549349</v>
      </c>
      <c r="M5" s="9">
        <f t="shared" si="0"/>
        <v>614389.60000000009</v>
      </c>
      <c r="N5" s="9">
        <f t="shared" si="0"/>
        <v>610695.4</v>
      </c>
      <c r="O5" s="9">
        <f t="shared" si="0"/>
        <v>613702.70000000007</v>
      </c>
      <c r="P5" s="9">
        <f>P7+P8+P9+P10-0.1</f>
        <v>603093.5</v>
      </c>
      <c r="Q5" s="9">
        <f>Q7+Q8+Q9+Q10-0.1</f>
        <v>603093.5</v>
      </c>
      <c r="R5" s="9">
        <f>SUM(H5:Q5)</f>
        <v>5550736.5999999996</v>
      </c>
    </row>
    <row r="6" spans="1:19" x14ac:dyDescent="0.25">
      <c r="A6" s="361"/>
      <c r="B6" s="364"/>
      <c r="C6" s="7" t="s">
        <v>16</v>
      </c>
      <c r="D6" s="11"/>
      <c r="E6" s="11"/>
      <c r="F6" s="11"/>
      <c r="G6" s="11"/>
      <c r="H6" s="11"/>
      <c r="I6" s="12"/>
      <c r="J6" s="12"/>
      <c r="K6" s="13"/>
      <c r="L6" s="13"/>
      <c r="M6" s="12"/>
      <c r="N6" s="12"/>
      <c r="O6" s="12"/>
      <c r="P6" s="9">
        <f>O6</f>
        <v>0</v>
      </c>
      <c r="Q6" s="9"/>
      <c r="R6" s="9">
        <f t="shared" ref="R6:R26" si="1">SUM(H6:Q6)</f>
        <v>0</v>
      </c>
    </row>
    <row r="7" spans="1:19" ht="51.75" customHeight="1" x14ac:dyDescent="0.25">
      <c r="A7" s="361"/>
      <c r="B7" s="364"/>
      <c r="C7" s="7" t="s">
        <v>17</v>
      </c>
      <c r="D7" s="14" t="s">
        <v>18</v>
      </c>
      <c r="E7" s="8" t="s">
        <v>15</v>
      </c>
      <c r="F7" s="8" t="s">
        <v>15</v>
      </c>
      <c r="G7" s="8" t="s">
        <v>15</v>
      </c>
      <c r="H7" s="15">
        <f t="shared" ref="H7:Q7" si="2">H13+H18+H21+H24</f>
        <v>426153.3</v>
      </c>
      <c r="I7" s="15">
        <f t="shared" si="2"/>
        <v>451251.20000000001</v>
      </c>
      <c r="J7" s="15">
        <f t="shared" si="2"/>
        <v>486929.2</v>
      </c>
      <c r="K7" s="16">
        <f t="shared" si="2"/>
        <v>498675.49999999994</v>
      </c>
      <c r="L7" s="16">
        <f t="shared" si="2"/>
        <v>523112</v>
      </c>
      <c r="M7" s="15">
        <f t="shared" si="2"/>
        <v>587737.9</v>
      </c>
      <c r="N7" s="15">
        <f t="shared" si="2"/>
        <v>593469.4</v>
      </c>
      <c r="O7" s="15">
        <f t="shared" si="2"/>
        <v>591529.80000000005</v>
      </c>
      <c r="P7" s="15">
        <f t="shared" si="2"/>
        <v>583976.69999999995</v>
      </c>
      <c r="Q7" s="15">
        <f t="shared" si="2"/>
        <v>583976.69999999995</v>
      </c>
      <c r="R7" s="9">
        <f t="shared" si="1"/>
        <v>5326811.7</v>
      </c>
      <c r="S7" s="17"/>
    </row>
    <row r="8" spans="1:19" ht="49.5" hidden="1" customHeight="1" x14ac:dyDescent="0.25">
      <c r="A8" s="361"/>
      <c r="B8" s="364"/>
      <c r="C8" s="18" t="s">
        <v>19</v>
      </c>
      <c r="D8" s="19" t="s">
        <v>20</v>
      </c>
      <c r="E8" s="8" t="s">
        <v>15</v>
      </c>
      <c r="F8" s="8" t="s">
        <v>15</v>
      </c>
      <c r="G8" s="8" t="s">
        <v>15</v>
      </c>
      <c r="H8" s="15"/>
      <c r="I8" s="15"/>
      <c r="J8" s="15"/>
      <c r="K8" s="16"/>
      <c r="L8" s="16"/>
      <c r="M8" s="15">
        <f>M17</f>
        <v>0</v>
      </c>
      <c r="N8" s="15"/>
      <c r="O8" s="15"/>
      <c r="P8" s="9">
        <f>O8</f>
        <v>0</v>
      </c>
      <c r="Q8" s="9"/>
      <c r="R8" s="9">
        <f t="shared" si="1"/>
        <v>0</v>
      </c>
    </row>
    <row r="9" spans="1:19" ht="39.950000000000003" customHeight="1" x14ac:dyDescent="0.25">
      <c r="A9" s="361"/>
      <c r="B9" s="364"/>
      <c r="C9" s="21" t="s">
        <v>21</v>
      </c>
      <c r="D9" s="14" t="s">
        <v>22</v>
      </c>
      <c r="E9" s="8" t="s">
        <v>15</v>
      </c>
      <c r="F9" s="8" t="s">
        <v>15</v>
      </c>
      <c r="G9" s="8" t="s">
        <v>15</v>
      </c>
      <c r="H9" s="15">
        <f t="shared" ref="H9:N9" si="3">H26</f>
        <v>14153.1</v>
      </c>
      <c r="I9" s="15">
        <f t="shared" si="3"/>
        <v>14936.4</v>
      </c>
      <c r="J9" s="15">
        <f t="shared" si="3"/>
        <v>15316.7</v>
      </c>
      <c r="K9" s="16">
        <f t="shared" si="3"/>
        <v>15372.5</v>
      </c>
      <c r="L9" s="16">
        <f t="shared" si="3"/>
        <v>15995.1</v>
      </c>
      <c r="M9" s="15">
        <f t="shared" si="3"/>
        <v>16743.8</v>
      </c>
      <c r="N9" s="15">
        <f t="shared" si="3"/>
        <v>17226</v>
      </c>
      <c r="O9" s="15">
        <f>O26</f>
        <v>16061</v>
      </c>
      <c r="P9" s="9">
        <f>O9</f>
        <v>16061</v>
      </c>
      <c r="Q9" s="9">
        <f>P9</f>
        <v>16061</v>
      </c>
      <c r="R9" s="9">
        <f t="shared" si="1"/>
        <v>157926.6</v>
      </c>
    </row>
    <row r="10" spans="1:19" ht="39.950000000000003" customHeight="1" x14ac:dyDescent="0.25">
      <c r="A10" s="362"/>
      <c r="B10" s="365"/>
      <c r="C10" s="21" t="s">
        <v>19</v>
      </c>
      <c r="D10" s="14" t="s">
        <v>20</v>
      </c>
      <c r="E10" s="8" t="s">
        <v>15</v>
      </c>
      <c r="F10" s="8" t="s">
        <v>15</v>
      </c>
      <c r="G10" s="8" t="s">
        <v>15</v>
      </c>
      <c r="H10" s="15">
        <f t="shared" ref="H10:N10" si="4">H25</f>
        <v>7523.2</v>
      </c>
      <c r="I10" s="15">
        <f t="shared" si="4"/>
        <v>7438</v>
      </c>
      <c r="J10" s="15">
        <f t="shared" si="4"/>
        <v>9483.7999999999993</v>
      </c>
      <c r="K10" s="16">
        <f t="shared" si="4"/>
        <v>9180</v>
      </c>
      <c r="L10" s="16">
        <f t="shared" si="4"/>
        <v>10241.9</v>
      </c>
      <c r="M10" s="15">
        <f t="shared" si="4"/>
        <v>9907.9</v>
      </c>
      <c r="N10" s="15">
        <f t="shared" si="4"/>
        <v>0</v>
      </c>
      <c r="O10" s="15">
        <f>O25</f>
        <v>6111.9</v>
      </c>
      <c r="P10" s="15">
        <f>P25</f>
        <v>3055.9</v>
      </c>
      <c r="Q10" s="15">
        <f>Q25</f>
        <v>3055.9</v>
      </c>
      <c r="R10" s="9">
        <f t="shared" si="1"/>
        <v>65998.5</v>
      </c>
    </row>
    <row r="11" spans="1:19" ht="46.5" customHeight="1" x14ac:dyDescent="0.25">
      <c r="A11" s="366" t="s">
        <v>23</v>
      </c>
      <c r="B11" s="366" t="s">
        <v>24</v>
      </c>
      <c r="C11" s="21" t="s">
        <v>14</v>
      </c>
      <c r="D11" s="22" t="s">
        <v>15</v>
      </c>
      <c r="E11" s="216" t="s">
        <v>15</v>
      </c>
      <c r="F11" s="22" t="s">
        <v>15</v>
      </c>
      <c r="G11" s="126" t="s">
        <v>15</v>
      </c>
      <c r="H11" s="15">
        <f t="shared" ref="H11:O11" si="5">H13+H14</f>
        <v>198091.6</v>
      </c>
      <c r="I11" s="15">
        <f t="shared" si="5"/>
        <v>204824.6</v>
      </c>
      <c r="J11" s="15">
        <f t="shared" si="5"/>
        <v>219030.5</v>
      </c>
      <c r="K11" s="16">
        <f t="shared" si="5"/>
        <v>218633.1</v>
      </c>
      <c r="L11" s="16">
        <f t="shared" si="5"/>
        <v>229336.9</v>
      </c>
      <c r="M11" s="15">
        <f t="shared" si="5"/>
        <v>267495.40000000002</v>
      </c>
      <c r="N11" s="15">
        <f t="shared" si="5"/>
        <v>272269.7</v>
      </c>
      <c r="O11" s="15">
        <f t="shared" si="5"/>
        <v>270838.40000000002</v>
      </c>
      <c r="P11" s="9">
        <f>O11</f>
        <v>270838.40000000002</v>
      </c>
      <c r="Q11" s="9">
        <f>P11</f>
        <v>270838.40000000002</v>
      </c>
      <c r="R11" s="9">
        <f t="shared" si="1"/>
        <v>2422197</v>
      </c>
    </row>
    <row r="12" spans="1:19" x14ac:dyDescent="0.25">
      <c r="A12" s="366"/>
      <c r="B12" s="366"/>
      <c r="C12" s="21" t="s">
        <v>16</v>
      </c>
      <c r="D12" s="25"/>
      <c r="E12" s="26"/>
      <c r="F12" s="25"/>
      <c r="G12" s="27"/>
      <c r="H12" s="27"/>
      <c r="I12" s="15"/>
      <c r="J12" s="15"/>
      <c r="K12" s="16"/>
      <c r="L12" s="16"/>
      <c r="M12" s="15"/>
      <c r="N12" s="15"/>
      <c r="O12" s="15"/>
      <c r="P12" s="9">
        <f>O12</f>
        <v>0</v>
      </c>
      <c r="Q12" s="9"/>
      <c r="R12" s="9">
        <f t="shared" si="1"/>
        <v>0</v>
      </c>
    </row>
    <row r="13" spans="1:19" ht="55.5" customHeight="1" x14ac:dyDescent="0.25">
      <c r="A13" s="366"/>
      <c r="B13" s="366"/>
      <c r="C13" s="7" t="s">
        <v>17</v>
      </c>
      <c r="D13" s="216" t="s">
        <v>18</v>
      </c>
      <c r="E13" s="216" t="s">
        <v>15</v>
      </c>
      <c r="F13" s="22" t="s">
        <v>15</v>
      </c>
      <c r="G13" s="126" t="s">
        <v>15</v>
      </c>
      <c r="H13" s="15">
        <v>198091.6</v>
      </c>
      <c r="I13" s="15">
        <v>204824.6</v>
      </c>
      <c r="J13" s="15">
        <v>219030.5</v>
      </c>
      <c r="K13" s="16">
        <v>218633.1</v>
      </c>
      <c r="L13" s="16">
        <v>229336.9</v>
      </c>
      <c r="M13" s="15">
        <v>267495.40000000002</v>
      </c>
      <c r="N13" s="15">
        <v>272269.7</v>
      </c>
      <c r="O13" s="15">
        <v>270838.40000000002</v>
      </c>
      <c r="P13" s="9">
        <f>O13</f>
        <v>270838.40000000002</v>
      </c>
      <c r="Q13" s="9">
        <f>P13</f>
        <v>270838.40000000002</v>
      </c>
      <c r="R13" s="9">
        <f t="shared" si="1"/>
        <v>2422197</v>
      </c>
    </row>
    <row r="14" spans="1:19" ht="63" x14ac:dyDescent="0.25">
      <c r="A14" s="366"/>
      <c r="B14" s="366"/>
      <c r="C14" s="7" t="s">
        <v>25</v>
      </c>
      <c r="D14" s="216" t="s">
        <v>26</v>
      </c>
      <c r="E14" s="216" t="s">
        <v>15</v>
      </c>
      <c r="F14" s="22" t="s">
        <v>15</v>
      </c>
      <c r="G14" s="126" t="s">
        <v>15</v>
      </c>
      <c r="H14" s="15"/>
      <c r="I14" s="15"/>
      <c r="J14" s="15">
        <v>0</v>
      </c>
      <c r="K14" s="16"/>
      <c r="L14" s="16"/>
      <c r="M14" s="15"/>
      <c r="N14" s="15"/>
      <c r="O14" s="15"/>
      <c r="P14" s="9">
        <f>O14</f>
        <v>0</v>
      </c>
      <c r="Q14" s="9"/>
      <c r="R14" s="9">
        <f t="shared" si="1"/>
        <v>0</v>
      </c>
    </row>
    <row r="15" spans="1:19" ht="47.25" x14ac:dyDescent="0.25">
      <c r="A15" s="354" t="s">
        <v>27</v>
      </c>
      <c r="B15" s="356" t="s">
        <v>28</v>
      </c>
      <c r="C15" s="21" t="s">
        <v>14</v>
      </c>
      <c r="D15" s="22" t="s">
        <v>15</v>
      </c>
      <c r="E15" s="216" t="s">
        <v>15</v>
      </c>
      <c r="F15" s="22" t="s">
        <v>15</v>
      </c>
      <c r="G15" s="126" t="s">
        <v>15</v>
      </c>
      <c r="H15" s="15">
        <f t="shared" ref="H15:N15" si="6">H18</f>
        <v>214621.9</v>
      </c>
      <c r="I15" s="15">
        <f t="shared" si="6"/>
        <v>231479.1</v>
      </c>
      <c r="J15" s="15">
        <f t="shared" si="6"/>
        <v>252889.60000000001</v>
      </c>
      <c r="K15" s="16">
        <f t="shared" si="6"/>
        <v>262736.59999999998</v>
      </c>
      <c r="L15" s="16">
        <f t="shared" si="6"/>
        <v>275850</v>
      </c>
      <c r="M15" s="15">
        <f>M17+M18</f>
        <v>294091.2</v>
      </c>
      <c r="N15" s="15">
        <f t="shared" si="6"/>
        <v>294528.8</v>
      </c>
      <c r="O15" s="15">
        <f>O18</f>
        <v>289315.90000000002</v>
      </c>
      <c r="P15" s="9">
        <f>P18</f>
        <v>281762.8</v>
      </c>
      <c r="Q15" s="9">
        <f>Q18</f>
        <v>281762.8</v>
      </c>
      <c r="R15" s="9">
        <f t="shared" si="1"/>
        <v>2679038.6999999997</v>
      </c>
    </row>
    <row r="16" spans="1:19" x14ac:dyDescent="0.25">
      <c r="A16" s="355"/>
      <c r="B16" s="357"/>
      <c r="C16" s="21" t="s">
        <v>16</v>
      </c>
      <c r="D16" s="25"/>
      <c r="E16" s="26"/>
      <c r="F16" s="25"/>
      <c r="G16" s="27"/>
      <c r="H16" s="15"/>
      <c r="I16" s="15"/>
      <c r="J16" s="15"/>
      <c r="K16" s="16"/>
      <c r="L16" s="16"/>
      <c r="M16" s="15"/>
      <c r="N16" s="15"/>
      <c r="O16" s="15"/>
      <c r="P16" s="9">
        <f>O16</f>
        <v>0</v>
      </c>
      <c r="Q16" s="9"/>
      <c r="R16" s="9">
        <f t="shared" si="1"/>
        <v>0</v>
      </c>
    </row>
    <row r="17" spans="1:18" ht="31.5" hidden="1" x14ac:dyDescent="0.25">
      <c r="A17" s="355"/>
      <c r="B17" s="357"/>
      <c r="C17" s="18" t="s">
        <v>19</v>
      </c>
      <c r="D17" s="19" t="s">
        <v>20</v>
      </c>
      <c r="E17" s="8" t="s">
        <v>15</v>
      </c>
      <c r="F17" s="8" t="s">
        <v>15</v>
      </c>
      <c r="G17" s="8" t="s">
        <v>15</v>
      </c>
      <c r="H17" s="15"/>
      <c r="I17" s="15"/>
      <c r="J17" s="15"/>
      <c r="K17" s="16"/>
      <c r="L17" s="16"/>
      <c r="M17" s="15">
        <v>0</v>
      </c>
      <c r="N17" s="15"/>
      <c r="O17" s="15"/>
      <c r="P17" s="9">
        <f>O17</f>
        <v>0</v>
      </c>
      <c r="Q17" s="9"/>
      <c r="R17" s="9">
        <f t="shared" si="1"/>
        <v>0</v>
      </c>
    </row>
    <row r="18" spans="1:18" ht="50.25" customHeight="1" x14ac:dyDescent="0.25">
      <c r="A18" s="355"/>
      <c r="B18" s="358"/>
      <c r="C18" s="7" t="s">
        <v>17</v>
      </c>
      <c r="D18" s="28">
        <v>975</v>
      </c>
      <c r="E18" s="216" t="s">
        <v>15</v>
      </c>
      <c r="F18" s="22" t="s">
        <v>15</v>
      </c>
      <c r="G18" s="126" t="s">
        <v>15</v>
      </c>
      <c r="H18" s="29">
        <v>214621.9</v>
      </c>
      <c r="I18" s="15">
        <v>231479.1</v>
      </c>
      <c r="J18" s="15">
        <v>252889.60000000001</v>
      </c>
      <c r="K18" s="16">
        <v>262736.59999999998</v>
      </c>
      <c r="L18" s="16">
        <v>275850</v>
      </c>
      <c r="M18" s="15">
        <v>294091.2</v>
      </c>
      <c r="N18" s="15">
        <v>294528.8</v>
      </c>
      <c r="O18" s="15">
        <v>289315.90000000002</v>
      </c>
      <c r="P18" s="9">
        <v>281762.8</v>
      </c>
      <c r="Q18" s="9">
        <f>P18</f>
        <v>281762.8</v>
      </c>
      <c r="R18" s="9">
        <f t="shared" si="1"/>
        <v>2679038.6999999997</v>
      </c>
    </row>
    <row r="19" spans="1:18" ht="47.25" customHeight="1" x14ac:dyDescent="0.25">
      <c r="A19" s="354" t="s">
        <v>29</v>
      </c>
      <c r="B19" s="356" t="s">
        <v>30</v>
      </c>
      <c r="C19" s="21" t="s">
        <v>14</v>
      </c>
      <c r="D19" s="216" t="s">
        <v>18</v>
      </c>
      <c r="E19" s="216" t="s">
        <v>15</v>
      </c>
      <c r="F19" s="22" t="s">
        <v>15</v>
      </c>
      <c r="G19" s="126" t="s">
        <v>15</v>
      </c>
      <c r="H19" s="15">
        <f t="shared" ref="H19:N19" si="7">H21</f>
        <v>6990.7</v>
      </c>
      <c r="I19" s="15">
        <f t="shared" si="7"/>
        <v>7764.9</v>
      </c>
      <c r="J19" s="15">
        <f t="shared" si="7"/>
        <v>7414.4</v>
      </c>
      <c r="K19" s="16">
        <f t="shared" si="7"/>
        <v>8058.3</v>
      </c>
      <c r="L19" s="16">
        <f t="shared" si="7"/>
        <v>7980.8</v>
      </c>
      <c r="M19" s="15">
        <f t="shared" si="7"/>
        <v>8394.1</v>
      </c>
      <c r="N19" s="15">
        <f t="shared" si="7"/>
        <v>1637.8</v>
      </c>
      <c r="O19" s="15">
        <f>O21</f>
        <v>7628.8</v>
      </c>
      <c r="P19" s="9">
        <f>O19</f>
        <v>7628.8</v>
      </c>
      <c r="Q19" s="9">
        <f>P19</f>
        <v>7628.8</v>
      </c>
      <c r="R19" s="9">
        <f t="shared" si="1"/>
        <v>71127.400000000009</v>
      </c>
    </row>
    <row r="20" spans="1:18" x14ac:dyDescent="0.25">
      <c r="A20" s="355"/>
      <c r="B20" s="357"/>
      <c r="C20" s="21" t="s">
        <v>16</v>
      </c>
      <c r="D20" s="25"/>
      <c r="E20" s="26"/>
      <c r="F20" s="25"/>
      <c r="G20" s="27"/>
      <c r="H20" s="15"/>
      <c r="I20" s="15"/>
      <c r="J20" s="15"/>
      <c r="K20" s="16"/>
      <c r="L20" s="16"/>
      <c r="M20" s="15"/>
      <c r="N20" s="15"/>
      <c r="O20" s="15"/>
      <c r="P20" s="9">
        <f>O20</f>
        <v>0</v>
      </c>
      <c r="Q20" s="9"/>
      <c r="R20" s="9">
        <f t="shared" si="1"/>
        <v>0</v>
      </c>
    </row>
    <row r="21" spans="1:18" ht="55.5" customHeight="1" x14ac:dyDescent="0.25">
      <c r="A21" s="355"/>
      <c r="B21" s="358"/>
      <c r="C21" s="7" t="s">
        <v>17</v>
      </c>
      <c r="D21" s="30">
        <v>975</v>
      </c>
      <c r="E21" s="31" t="s">
        <v>15</v>
      </c>
      <c r="F21" s="30" t="s">
        <v>15</v>
      </c>
      <c r="G21" s="32" t="s">
        <v>15</v>
      </c>
      <c r="H21" s="15">
        <v>6990.7</v>
      </c>
      <c r="I21" s="15">
        <v>7764.9</v>
      </c>
      <c r="J21" s="15">
        <v>7414.4</v>
      </c>
      <c r="K21" s="16">
        <v>8058.3</v>
      </c>
      <c r="L21" s="16">
        <v>7980.8</v>
      </c>
      <c r="M21" s="15">
        <v>8394.1</v>
      </c>
      <c r="N21" s="15">
        <v>1637.8</v>
      </c>
      <c r="O21" s="15">
        <v>7628.8</v>
      </c>
      <c r="P21" s="15">
        <v>7628.8</v>
      </c>
      <c r="Q21" s="15">
        <f>P21</f>
        <v>7628.8</v>
      </c>
      <c r="R21" s="9">
        <f t="shared" si="1"/>
        <v>71127.400000000009</v>
      </c>
    </row>
    <row r="22" spans="1:18" ht="47.25" customHeight="1" x14ac:dyDescent="0.25">
      <c r="A22" s="359" t="s">
        <v>31</v>
      </c>
      <c r="B22" s="356" t="s">
        <v>32</v>
      </c>
      <c r="C22" s="21" t="s">
        <v>14</v>
      </c>
      <c r="D22" s="22"/>
      <c r="E22" s="216"/>
      <c r="F22" s="22"/>
      <c r="G22" s="126"/>
      <c r="H22" s="15">
        <f t="shared" ref="H22:M22" si="8">H24+H25+H26</f>
        <v>28125.4</v>
      </c>
      <c r="I22" s="15">
        <f t="shared" si="8"/>
        <v>29557</v>
      </c>
      <c r="J22" s="15">
        <f t="shared" si="8"/>
        <v>32395.200000000001</v>
      </c>
      <c r="K22" s="16">
        <f>K24+K25+K26</f>
        <v>33800</v>
      </c>
      <c r="L22" s="16">
        <f>L24+L25+L26</f>
        <v>36181.299999999996</v>
      </c>
      <c r="M22" s="15">
        <f t="shared" si="8"/>
        <v>44408.899999999994</v>
      </c>
      <c r="N22" s="15">
        <f>N24+N25+N26</f>
        <v>42259.1</v>
      </c>
      <c r="O22" s="15">
        <f>O24+O25+O26</f>
        <v>45919.6</v>
      </c>
      <c r="P22" s="9">
        <f>P24+P25+P26</f>
        <v>42863.6</v>
      </c>
      <c r="Q22" s="9">
        <f>Q24+Q25+Q26</f>
        <v>42863.6</v>
      </c>
      <c r="R22" s="9">
        <f t="shared" si="1"/>
        <v>378373.69999999995</v>
      </c>
    </row>
    <row r="23" spans="1:18" x14ac:dyDescent="0.25">
      <c r="A23" s="359"/>
      <c r="B23" s="357"/>
      <c r="C23" s="21" t="s">
        <v>16</v>
      </c>
      <c r="D23" s="25"/>
      <c r="E23" s="26"/>
      <c r="F23" s="25"/>
      <c r="G23" s="27"/>
      <c r="H23" s="15"/>
      <c r="I23" s="15"/>
      <c r="J23" s="15"/>
      <c r="K23" s="16"/>
      <c r="L23" s="16"/>
      <c r="M23" s="15"/>
      <c r="N23" s="15"/>
      <c r="O23" s="15"/>
      <c r="P23" s="9">
        <f>O23</f>
        <v>0</v>
      </c>
      <c r="Q23" s="9"/>
      <c r="R23" s="9">
        <f t="shared" si="1"/>
        <v>0</v>
      </c>
    </row>
    <row r="24" spans="1:18" ht="48.75" customHeight="1" x14ac:dyDescent="0.25">
      <c r="A24" s="359"/>
      <c r="B24" s="357"/>
      <c r="C24" s="7" t="s">
        <v>17</v>
      </c>
      <c r="D24" s="216" t="s">
        <v>18</v>
      </c>
      <c r="E24" s="216" t="s">
        <v>15</v>
      </c>
      <c r="F24" s="22"/>
      <c r="G24" s="126"/>
      <c r="H24" s="15">
        <v>6449.1</v>
      </c>
      <c r="I24" s="15">
        <v>7182.6</v>
      </c>
      <c r="J24" s="15">
        <v>7594.7</v>
      </c>
      <c r="K24" s="16">
        <v>9247.5</v>
      </c>
      <c r="L24" s="16">
        <v>9944.2999999999993</v>
      </c>
      <c r="M24" s="15">
        <f>44408.9-M25-M26</f>
        <v>17757.2</v>
      </c>
      <c r="N24" s="15">
        <v>25033.1</v>
      </c>
      <c r="O24" s="15">
        <f>45919.6-O25-O26</f>
        <v>23746.699999999997</v>
      </c>
      <c r="P24" s="9">
        <f>42863.6-P25-P26</f>
        <v>23746.699999999997</v>
      </c>
      <c r="Q24" s="9">
        <f>P24</f>
        <v>23746.699999999997</v>
      </c>
      <c r="R24" s="9">
        <f t="shared" si="1"/>
        <v>154448.59999999998</v>
      </c>
    </row>
    <row r="25" spans="1:18" ht="39" customHeight="1" x14ac:dyDescent="0.25">
      <c r="A25" s="359"/>
      <c r="B25" s="357"/>
      <c r="C25" s="21" t="s">
        <v>19</v>
      </c>
      <c r="D25" s="22">
        <v>906</v>
      </c>
      <c r="E25" s="216" t="s">
        <v>15</v>
      </c>
      <c r="F25" s="22"/>
      <c r="G25" s="22"/>
      <c r="H25" s="16">
        <v>7523.2</v>
      </c>
      <c r="I25" s="16">
        <f>3247.3+4190.7</f>
        <v>7438</v>
      </c>
      <c r="J25" s="16">
        <f>9009.9+473.9</f>
        <v>9483.7999999999993</v>
      </c>
      <c r="K25" s="16">
        <f>8415+765</f>
        <v>9180</v>
      </c>
      <c r="L25" s="16">
        <v>10241.9</v>
      </c>
      <c r="M25" s="15">
        <v>9907.9</v>
      </c>
      <c r="N25" s="15">
        <v>0</v>
      </c>
      <c r="O25" s="15">
        <v>6111.9</v>
      </c>
      <c r="P25" s="9">
        <v>3055.9</v>
      </c>
      <c r="Q25" s="9">
        <f>P25</f>
        <v>3055.9</v>
      </c>
      <c r="R25" s="9">
        <f t="shared" si="1"/>
        <v>65998.5</v>
      </c>
    </row>
    <row r="26" spans="1:18" ht="30" customHeight="1" x14ac:dyDescent="0.25">
      <c r="A26" s="359"/>
      <c r="B26" s="358"/>
      <c r="C26" s="21" t="s">
        <v>21</v>
      </c>
      <c r="D26" s="30">
        <v>976</v>
      </c>
      <c r="E26" s="31" t="s">
        <v>15</v>
      </c>
      <c r="F26" s="25"/>
      <c r="G26" s="25"/>
      <c r="H26" s="15">
        <v>14153.1</v>
      </c>
      <c r="I26" s="15">
        <v>14936.4</v>
      </c>
      <c r="J26" s="16">
        <v>15316.7</v>
      </c>
      <c r="K26" s="16">
        <v>15372.5</v>
      </c>
      <c r="L26" s="16">
        <v>15995.1</v>
      </c>
      <c r="M26" s="15">
        <v>16743.8</v>
      </c>
      <c r="N26" s="15">
        <v>17226</v>
      </c>
      <c r="O26" s="15">
        <v>16061</v>
      </c>
      <c r="P26" s="9">
        <f>O26</f>
        <v>16061</v>
      </c>
      <c r="Q26" s="9">
        <f>P26</f>
        <v>16061</v>
      </c>
      <c r="R26" s="9">
        <f t="shared" si="1"/>
        <v>157926.6</v>
      </c>
    </row>
    <row r="27" spans="1:18" x14ac:dyDescent="0.25">
      <c r="I27" s="34"/>
      <c r="J27" s="34"/>
      <c r="K27" s="35"/>
      <c r="L27" s="34"/>
      <c r="M27" s="34"/>
      <c r="N27" s="34"/>
      <c r="O27" s="34"/>
      <c r="P27" s="34"/>
      <c r="Q27" s="34"/>
    </row>
    <row r="28" spans="1:18" ht="18.75" customHeight="1" x14ac:dyDescent="0.25">
      <c r="A28" s="1" t="s">
        <v>33</v>
      </c>
      <c r="R28" s="1" t="s">
        <v>34</v>
      </c>
    </row>
    <row r="29" spans="1:18" x14ac:dyDescent="0.25">
      <c r="K29" s="37"/>
      <c r="L29" s="37"/>
      <c r="M29" s="37"/>
      <c r="N29" s="37"/>
      <c r="O29" s="37"/>
      <c r="P29" s="37"/>
      <c r="Q29" s="37"/>
      <c r="R29" s="37"/>
    </row>
    <row r="31" spans="1:18" x14ac:dyDescent="0.25">
      <c r="L31" s="38"/>
    </row>
    <row r="32" spans="1:18" x14ac:dyDescent="0.25">
      <c r="L32" s="38"/>
    </row>
    <row r="33" spans="12:18" x14ac:dyDescent="0.25">
      <c r="R33" s="34"/>
    </row>
    <row r="34" spans="12:18" x14ac:dyDescent="0.25">
      <c r="L34" s="38"/>
      <c r="R34" s="34"/>
    </row>
    <row r="36" spans="12:18" x14ac:dyDescent="0.25">
      <c r="R36" s="34"/>
    </row>
    <row r="37" spans="12:18" x14ac:dyDescent="0.25">
      <c r="R37" s="34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R1"/>
    <mergeCell ref="A2:R2"/>
    <mergeCell ref="A3:A4"/>
    <mergeCell ref="B3:B4"/>
    <mergeCell ref="C3:C4"/>
    <mergeCell ref="D3:G3"/>
    <mergeCell ref="H3:R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view="pageBreakPreview" topLeftCell="C1" zoomScaleNormal="100" zoomScaleSheetLayoutView="100" workbookViewId="0">
      <selection activeCell="L7" sqref="L7"/>
    </sheetView>
  </sheetViews>
  <sheetFormatPr defaultRowHeight="15.75" x14ac:dyDescent="0.25"/>
  <cols>
    <col min="1" max="1" width="7.42578125" style="36" customWidth="1"/>
    <col min="2" max="2" width="79.140625" style="36" customWidth="1"/>
    <col min="3" max="3" width="12" style="36" customWidth="1"/>
    <col min="4" max="4" width="16.28515625" style="36" customWidth="1"/>
    <col min="5" max="5" width="9.140625" style="36" hidden="1" customWidth="1"/>
    <col min="6" max="8" width="11.42578125" style="36" customWidth="1"/>
    <col min="9" max="11" width="11.42578125" style="292" customWidth="1"/>
    <col min="12" max="12" width="11.42578125" style="293" customWidth="1"/>
    <col min="13" max="13" width="11.42578125" style="36" customWidth="1"/>
    <col min="14" max="16384" width="9.140625" style="36"/>
  </cols>
  <sheetData>
    <row r="1" spans="1:15" ht="50.25" customHeight="1" x14ac:dyDescent="0.25">
      <c r="A1" s="75"/>
      <c r="B1" s="76"/>
      <c r="C1" s="77"/>
      <c r="D1" s="76"/>
      <c r="F1" s="530" t="s">
        <v>496</v>
      </c>
      <c r="G1" s="530"/>
      <c r="H1" s="530"/>
      <c r="I1" s="530"/>
      <c r="J1" s="530"/>
      <c r="K1" s="530"/>
      <c r="L1" s="530"/>
    </row>
    <row r="2" spans="1:15" ht="26.25" customHeight="1" x14ac:dyDescent="0.25">
      <c r="A2" s="430" t="s">
        <v>246</v>
      </c>
      <c r="B2" s="430"/>
      <c r="C2" s="430"/>
      <c r="D2" s="430"/>
      <c r="E2" s="430"/>
      <c r="F2" s="430"/>
      <c r="G2" s="430"/>
      <c r="H2" s="430"/>
      <c r="I2" s="430"/>
      <c r="J2" s="288"/>
      <c r="K2" s="288"/>
      <c r="L2" s="288"/>
    </row>
    <row r="3" spans="1:15" ht="53.25" customHeight="1" x14ac:dyDescent="0.25">
      <c r="A3" s="413" t="s">
        <v>90</v>
      </c>
      <c r="B3" s="406" t="s">
        <v>247</v>
      </c>
      <c r="C3" s="406" t="s">
        <v>92</v>
      </c>
      <c r="D3" s="406" t="s">
        <v>94</v>
      </c>
      <c r="E3" s="359" t="s">
        <v>95</v>
      </c>
      <c r="F3" s="359" t="s">
        <v>41</v>
      </c>
      <c r="G3" s="359" t="s">
        <v>42</v>
      </c>
      <c r="H3" s="359" t="s">
        <v>43</v>
      </c>
      <c r="I3" s="359" t="s">
        <v>44</v>
      </c>
      <c r="J3" s="359" t="s">
        <v>45</v>
      </c>
      <c r="K3" s="359" t="s">
        <v>46</v>
      </c>
      <c r="L3" s="359" t="s">
        <v>47</v>
      </c>
      <c r="M3" s="359" t="s">
        <v>48</v>
      </c>
      <c r="N3" s="359" t="s">
        <v>49</v>
      </c>
      <c r="O3" s="359" t="s">
        <v>50</v>
      </c>
    </row>
    <row r="4" spans="1:15" s="98" customFormat="1" ht="22.5" customHeight="1" x14ac:dyDescent="0.2">
      <c r="A4" s="413"/>
      <c r="B4" s="406"/>
      <c r="C4" s="406"/>
      <c r="D4" s="406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</row>
    <row r="5" spans="1:15" ht="36" customHeight="1" x14ac:dyDescent="0.25">
      <c r="A5" s="425" t="s">
        <v>497</v>
      </c>
      <c r="B5" s="426"/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</row>
    <row r="6" spans="1:15" ht="30" customHeight="1" x14ac:dyDescent="0.25">
      <c r="A6" s="526" t="s">
        <v>498</v>
      </c>
      <c r="B6" s="527"/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8"/>
    </row>
    <row r="7" spans="1:15" ht="31.5" x14ac:dyDescent="0.25">
      <c r="A7" s="289" t="s">
        <v>499</v>
      </c>
      <c r="B7" s="109" t="s">
        <v>500</v>
      </c>
      <c r="C7" s="121" t="s">
        <v>98</v>
      </c>
      <c r="D7" s="81" t="s">
        <v>103</v>
      </c>
      <c r="E7" s="83"/>
      <c r="F7" s="82">
        <v>82.9</v>
      </c>
      <c r="G7" s="82">
        <v>82.9</v>
      </c>
      <c r="H7" s="82">
        <v>93.2</v>
      </c>
      <c r="I7" s="82">
        <v>93.7</v>
      </c>
      <c r="J7" s="82">
        <v>94</v>
      </c>
      <c r="K7" s="82">
        <v>94</v>
      </c>
      <c r="L7" s="82">
        <v>94</v>
      </c>
      <c r="M7" s="82">
        <v>94</v>
      </c>
      <c r="N7" s="82">
        <v>94</v>
      </c>
      <c r="O7" s="82">
        <v>94</v>
      </c>
    </row>
    <row r="8" spans="1:15" ht="33.75" customHeight="1" x14ac:dyDescent="0.25">
      <c r="A8" s="526" t="s">
        <v>501</v>
      </c>
      <c r="B8" s="527"/>
      <c r="C8" s="527"/>
      <c r="D8" s="527"/>
      <c r="E8" s="527"/>
      <c r="F8" s="527"/>
      <c r="G8" s="527"/>
      <c r="H8" s="527"/>
      <c r="I8" s="527"/>
      <c r="J8" s="527"/>
      <c r="K8" s="527"/>
      <c r="L8" s="527"/>
      <c r="M8" s="528"/>
    </row>
    <row r="9" spans="1:15" ht="31.5" x14ac:dyDescent="0.25">
      <c r="A9" s="290" t="s">
        <v>502</v>
      </c>
      <c r="B9" s="109" t="s">
        <v>503</v>
      </c>
      <c r="C9" s="121" t="s">
        <v>98</v>
      </c>
      <c r="D9" s="81" t="s">
        <v>103</v>
      </c>
      <c r="E9" s="83"/>
      <c r="F9" s="82">
        <v>73</v>
      </c>
      <c r="G9" s="82">
        <v>74</v>
      </c>
      <c r="H9" s="82">
        <v>89</v>
      </c>
      <c r="I9" s="82">
        <v>90</v>
      </c>
      <c r="J9" s="82">
        <v>92</v>
      </c>
      <c r="K9" s="82">
        <v>95</v>
      </c>
      <c r="L9" s="82">
        <v>95</v>
      </c>
      <c r="M9" s="82">
        <v>95</v>
      </c>
      <c r="N9" s="82">
        <v>95</v>
      </c>
      <c r="O9" s="82">
        <v>95</v>
      </c>
    </row>
    <row r="10" spans="1:15" ht="47.25" x14ac:dyDescent="0.25">
      <c r="A10" s="290" t="s">
        <v>504</v>
      </c>
      <c r="B10" s="109" t="s">
        <v>178</v>
      </c>
      <c r="C10" s="291" t="s">
        <v>98</v>
      </c>
      <c r="D10" s="81" t="s">
        <v>103</v>
      </c>
      <c r="E10" s="81">
        <v>15.6</v>
      </c>
      <c r="F10" s="82">
        <v>70</v>
      </c>
      <c r="G10" s="82">
        <v>70</v>
      </c>
      <c r="H10" s="82">
        <v>95</v>
      </c>
      <c r="I10" s="82">
        <v>97</v>
      </c>
      <c r="J10" s="82">
        <v>97</v>
      </c>
      <c r="K10" s="82">
        <v>98</v>
      </c>
      <c r="L10" s="82">
        <v>98</v>
      </c>
      <c r="M10" s="82">
        <v>98</v>
      </c>
      <c r="N10" s="82">
        <v>98</v>
      </c>
      <c r="O10" s="82">
        <v>98</v>
      </c>
    </row>
    <row r="11" spans="1:15" x14ac:dyDescent="0.25">
      <c r="A11" s="12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</row>
    <row r="12" spans="1:15" x14ac:dyDescent="0.25">
      <c r="A12" s="153" t="s">
        <v>33</v>
      </c>
      <c r="B12" s="153"/>
      <c r="C12" s="153"/>
      <c r="I12" s="529" t="s">
        <v>34</v>
      </c>
      <c r="J12" s="529"/>
      <c r="K12" s="529"/>
      <c r="L12" s="529"/>
    </row>
  </sheetData>
  <mergeCells count="21">
    <mergeCell ref="F1:L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A5:N5"/>
    <mergeCell ref="A6:M6"/>
    <mergeCell ref="A8:M8"/>
    <mergeCell ref="I12:L12"/>
    <mergeCell ref="I3:I4"/>
    <mergeCell ref="J3:J4"/>
    <mergeCell ref="K3:K4"/>
    <mergeCell ref="L3:L4"/>
    <mergeCell ref="M3:M4"/>
    <mergeCell ref="N3:N4"/>
  </mergeCells>
  <pageMargins left="0.51181102362204722" right="0.31496062992125984" top="0.55118110236220474" bottom="0.35433070866141736" header="0.31496062992125984" footer="0.31496062992125984"/>
  <pageSetup paperSize="9" scale="63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7"/>
  <sheetViews>
    <sheetView view="pageBreakPreview" zoomScale="98" zoomScaleNormal="98" zoomScaleSheetLayoutView="98" workbookViewId="0">
      <pane xSplit="3" ySplit="5" topLeftCell="F30" activePane="bottomRight" state="frozen"/>
      <selection activeCell="Q12" sqref="Q12"/>
      <selection pane="topRight" activeCell="Q12" sqref="Q12"/>
      <selection pane="bottomLeft" activeCell="Q12" sqref="Q12"/>
      <selection pane="bottomRight" activeCell="N17" sqref="N17"/>
    </sheetView>
  </sheetViews>
  <sheetFormatPr defaultColWidth="9.28515625" defaultRowHeight="15.75" x14ac:dyDescent="0.25"/>
  <cols>
    <col min="1" max="1" width="6.5703125" style="192" customWidth="1"/>
    <col min="2" max="2" width="50.42578125" style="36" customWidth="1"/>
    <col min="3" max="3" width="21.7109375" style="193" customWidth="1"/>
    <col min="4" max="5" width="9.28515625" style="193" customWidth="1"/>
    <col min="6" max="6" width="14.85546875" style="193" customWidth="1"/>
    <col min="7" max="7" width="11.28515625" style="193" customWidth="1"/>
    <col min="8" max="8" width="12.7109375" style="193" customWidth="1"/>
    <col min="9" max="13" width="12.7109375" style="36" customWidth="1"/>
    <col min="14" max="14" width="12.7109375" style="58" customWidth="1"/>
    <col min="15" max="17" width="12.7109375" style="36" customWidth="1"/>
    <col min="18" max="18" width="14.7109375" style="36" customWidth="1"/>
    <col min="19" max="19" width="40.140625" style="36" customWidth="1"/>
    <col min="20" max="20" width="12" style="36" customWidth="1"/>
    <col min="21" max="16384" width="9.28515625" style="36"/>
  </cols>
  <sheetData>
    <row r="1" spans="1:20" s="135" customFormat="1" ht="75" customHeight="1" x14ac:dyDescent="0.25">
      <c r="A1" s="156"/>
      <c r="B1" s="157"/>
      <c r="C1" s="158"/>
      <c r="D1" s="158"/>
      <c r="E1" s="158"/>
      <c r="F1" s="158"/>
      <c r="G1" s="158"/>
      <c r="H1" s="158"/>
      <c r="I1" s="556"/>
      <c r="J1" s="556"/>
      <c r="N1" s="125"/>
      <c r="R1" s="530" t="s">
        <v>505</v>
      </c>
      <c r="S1" s="530"/>
      <c r="T1" s="294"/>
    </row>
    <row r="2" spans="1:20" s="135" customFormat="1" ht="23.25" customHeight="1" x14ac:dyDescent="0.25">
      <c r="A2" s="482" t="s">
        <v>257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</row>
    <row r="3" spans="1:20" s="135" customFormat="1" ht="24.75" customHeight="1" x14ac:dyDescent="0.25">
      <c r="A3" s="359" t="s">
        <v>90</v>
      </c>
      <c r="B3" s="359" t="s">
        <v>258</v>
      </c>
      <c r="C3" s="359" t="s">
        <v>7</v>
      </c>
      <c r="D3" s="485" t="s">
        <v>5</v>
      </c>
      <c r="E3" s="486"/>
      <c r="F3" s="486"/>
      <c r="G3" s="487"/>
      <c r="H3" s="295"/>
      <c r="I3" s="359" t="s">
        <v>6</v>
      </c>
      <c r="J3" s="359"/>
      <c r="K3" s="359"/>
      <c r="L3" s="359"/>
      <c r="M3" s="359"/>
      <c r="N3" s="359"/>
      <c r="O3" s="359"/>
      <c r="P3" s="359"/>
      <c r="Q3" s="359"/>
      <c r="R3" s="359"/>
      <c r="S3" s="359" t="s">
        <v>259</v>
      </c>
    </row>
    <row r="4" spans="1:20" s="135" customFormat="1" ht="42" customHeight="1" x14ac:dyDescent="0.25">
      <c r="A4" s="359"/>
      <c r="B4" s="359"/>
      <c r="C4" s="359"/>
      <c r="D4" s="6" t="s">
        <v>7</v>
      </c>
      <c r="E4" s="6" t="s">
        <v>8</v>
      </c>
      <c r="F4" s="6" t="s">
        <v>9</v>
      </c>
      <c r="G4" s="6" t="s">
        <v>10</v>
      </c>
      <c r="H4" s="6">
        <v>2014</v>
      </c>
      <c r="I4" s="6">
        <v>2015</v>
      </c>
      <c r="J4" s="6">
        <v>2016</v>
      </c>
      <c r="K4" s="6">
        <v>2017</v>
      </c>
      <c r="L4" s="6">
        <v>2018</v>
      </c>
      <c r="M4" s="6">
        <v>2019</v>
      </c>
      <c r="N4" s="61">
        <v>2020</v>
      </c>
      <c r="O4" s="6">
        <v>2021</v>
      </c>
      <c r="P4" s="6">
        <v>2022</v>
      </c>
      <c r="Q4" s="6">
        <v>2023</v>
      </c>
      <c r="R4" s="6" t="s">
        <v>11</v>
      </c>
      <c r="S4" s="359"/>
    </row>
    <row r="5" spans="1:20" ht="26.25" customHeight="1" x14ac:dyDescent="0.25">
      <c r="A5" s="366" t="s">
        <v>497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</row>
    <row r="6" spans="1:20" ht="28.5" hidden="1" customHeight="1" x14ac:dyDescent="0.25">
      <c r="A6" s="296"/>
      <c r="B6" s="20"/>
      <c r="C6" s="6"/>
      <c r="D6" s="160"/>
      <c r="E6" s="6"/>
      <c r="F6" s="160" t="s">
        <v>506</v>
      </c>
      <c r="G6" s="6">
        <v>530</v>
      </c>
      <c r="H6" s="6"/>
      <c r="I6" s="13"/>
      <c r="J6" s="13"/>
      <c r="K6" s="13"/>
      <c r="L6" s="13"/>
      <c r="M6" s="13"/>
      <c r="N6" s="12"/>
      <c r="O6" s="13"/>
      <c r="P6" s="13"/>
      <c r="Q6" s="13"/>
      <c r="R6" s="13">
        <f>SUM(I6:K6)</f>
        <v>0</v>
      </c>
      <c r="S6" s="20"/>
    </row>
    <row r="7" spans="1:20" ht="21.75" customHeight="1" x14ac:dyDescent="0.25">
      <c r="A7" s="472" t="s">
        <v>507</v>
      </c>
      <c r="B7" s="472"/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  <c r="N7" s="472"/>
      <c r="O7" s="472"/>
      <c r="P7" s="472"/>
      <c r="Q7" s="472"/>
      <c r="R7" s="472"/>
      <c r="S7" s="472"/>
    </row>
    <row r="8" spans="1:20" ht="48" hidden="1" customHeight="1" x14ac:dyDescent="0.25">
      <c r="A8" s="473" t="s">
        <v>508</v>
      </c>
      <c r="B8" s="553" t="s">
        <v>509</v>
      </c>
      <c r="C8" s="354" t="s">
        <v>17</v>
      </c>
      <c r="D8" s="6">
        <v>975</v>
      </c>
      <c r="E8" s="160" t="s">
        <v>316</v>
      </c>
      <c r="F8" s="160" t="s">
        <v>510</v>
      </c>
      <c r="G8" s="160" t="s">
        <v>266</v>
      </c>
      <c r="H8" s="160"/>
      <c r="I8" s="20"/>
      <c r="J8" s="6"/>
      <c r="K8" s="297"/>
      <c r="L8" s="297"/>
      <c r="M8" s="297"/>
      <c r="N8" s="298"/>
      <c r="O8" s="297"/>
      <c r="P8" s="297"/>
      <c r="Q8" s="297"/>
      <c r="R8" s="13">
        <f>SUM(G8:N8)</f>
        <v>0</v>
      </c>
      <c r="S8" s="299" t="s">
        <v>511</v>
      </c>
    </row>
    <row r="9" spans="1:20" ht="56.25" customHeight="1" x14ac:dyDescent="0.25">
      <c r="A9" s="474"/>
      <c r="B9" s="554"/>
      <c r="C9" s="355"/>
      <c r="D9" s="300" t="s">
        <v>18</v>
      </c>
      <c r="E9" s="300" t="s">
        <v>316</v>
      </c>
      <c r="F9" s="160" t="s">
        <v>510</v>
      </c>
      <c r="G9" s="6">
        <v>622</v>
      </c>
      <c r="H9" s="13">
        <v>97.2</v>
      </c>
      <c r="I9" s="13"/>
      <c r="J9" s="301"/>
      <c r="L9" s="13"/>
      <c r="M9" s="13"/>
      <c r="N9" s="12"/>
      <c r="O9" s="13"/>
      <c r="P9" s="13">
        <f>O9</f>
        <v>0</v>
      </c>
      <c r="Q9" s="13">
        <f>P9</f>
        <v>0</v>
      </c>
      <c r="R9" s="13">
        <f>SUM(H9:Q9)</f>
        <v>97.2</v>
      </c>
      <c r="S9" s="447" t="s">
        <v>512</v>
      </c>
    </row>
    <row r="10" spans="1:20" ht="73.900000000000006" customHeight="1" x14ac:dyDescent="0.25">
      <c r="A10" s="475"/>
      <c r="B10" s="555"/>
      <c r="C10" s="373"/>
      <c r="D10" s="300" t="s">
        <v>18</v>
      </c>
      <c r="E10" s="300" t="s">
        <v>316</v>
      </c>
      <c r="F10" s="160" t="s">
        <v>513</v>
      </c>
      <c r="G10" s="6">
        <v>244</v>
      </c>
      <c r="H10" s="13"/>
      <c r="I10" s="13">
        <v>96</v>
      </c>
      <c r="J10" s="13">
        <v>87.9</v>
      </c>
      <c r="K10" s="13">
        <v>110.6</v>
      </c>
      <c r="L10" s="13">
        <v>175</v>
      </c>
      <c r="M10" s="13">
        <v>201.4</v>
      </c>
      <c r="N10" s="12"/>
      <c r="O10" s="13"/>
      <c r="P10" s="13"/>
      <c r="Q10" s="13">
        <f t="shared" ref="Q10:Q23" si="0">P10</f>
        <v>0</v>
      </c>
      <c r="R10" s="13">
        <f t="shared" ref="R10:R23" si="1">SUM(H10:Q10)</f>
        <v>670.9</v>
      </c>
      <c r="S10" s="448"/>
    </row>
    <row r="11" spans="1:20" ht="99" customHeight="1" x14ac:dyDescent="0.25">
      <c r="A11" s="160" t="s">
        <v>251</v>
      </c>
      <c r="B11" s="20" t="s">
        <v>514</v>
      </c>
      <c r="C11" s="6" t="s">
        <v>17</v>
      </c>
      <c r="D11" s="300" t="s">
        <v>18</v>
      </c>
      <c r="E11" s="300" t="s">
        <v>316</v>
      </c>
      <c r="F11" s="160" t="s">
        <v>510</v>
      </c>
      <c r="G11" s="6">
        <v>612</v>
      </c>
      <c r="H11" s="13">
        <v>214.3</v>
      </c>
      <c r="I11" s="13">
        <v>214.3</v>
      </c>
      <c r="J11" s="302"/>
      <c r="K11" s="303"/>
      <c r="L11" s="303"/>
      <c r="M11" s="303"/>
      <c r="N11" s="304"/>
      <c r="O11" s="303"/>
      <c r="P11" s="13">
        <f t="shared" ref="P11:P23" si="2">O11</f>
        <v>0</v>
      </c>
      <c r="Q11" s="13">
        <f t="shared" si="0"/>
        <v>0</v>
      </c>
      <c r="R11" s="13">
        <f t="shared" si="1"/>
        <v>428.6</v>
      </c>
      <c r="S11" s="62" t="s">
        <v>515</v>
      </c>
      <c r="T11" s="36">
        <v>2</v>
      </c>
    </row>
    <row r="12" spans="1:20" ht="54.75" customHeight="1" x14ac:dyDescent="0.25">
      <c r="A12" s="454" t="s">
        <v>252</v>
      </c>
      <c r="B12" s="550" t="s">
        <v>516</v>
      </c>
      <c r="C12" s="354" t="s">
        <v>17</v>
      </c>
      <c r="D12" s="305" t="s">
        <v>18</v>
      </c>
      <c r="E12" s="305" t="s">
        <v>316</v>
      </c>
      <c r="F12" s="305" t="s">
        <v>510</v>
      </c>
      <c r="G12" s="6">
        <v>622</v>
      </c>
      <c r="H12" s="13">
        <f>6.8</f>
        <v>6.8</v>
      </c>
      <c r="I12" s="13"/>
      <c r="J12" s="13"/>
      <c r="K12" s="13"/>
      <c r="L12" s="13"/>
      <c r="M12" s="13"/>
      <c r="N12" s="12"/>
      <c r="O12" s="13"/>
      <c r="P12" s="13">
        <f t="shared" si="2"/>
        <v>0</v>
      </c>
      <c r="Q12" s="13">
        <f t="shared" si="0"/>
        <v>0</v>
      </c>
      <c r="R12" s="13">
        <f t="shared" si="1"/>
        <v>6.8</v>
      </c>
      <c r="S12" s="447" t="s">
        <v>517</v>
      </c>
    </row>
    <row r="13" spans="1:20" ht="42.75" customHeight="1" x14ac:dyDescent="0.25">
      <c r="A13" s="455"/>
      <c r="B13" s="551"/>
      <c r="C13" s="373"/>
      <c r="D13" s="305" t="s">
        <v>18</v>
      </c>
      <c r="E13" s="305" t="s">
        <v>316</v>
      </c>
      <c r="F13" s="305" t="s">
        <v>510</v>
      </c>
      <c r="G13" s="306">
        <v>244</v>
      </c>
      <c r="H13" s="13"/>
      <c r="I13" s="13">
        <v>6.8</v>
      </c>
      <c r="J13" s="13"/>
      <c r="K13" s="13"/>
      <c r="L13" s="13"/>
      <c r="M13" s="13"/>
      <c r="N13" s="12"/>
      <c r="O13" s="13"/>
      <c r="P13" s="13">
        <f t="shared" si="2"/>
        <v>0</v>
      </c>
      <c r="Q13" s="13">
        <f t="shared" si="0"/>
        <v>0</v>
      </c>
      <c r="R13" s="13">
        <f t="shared" si="1"/>
        <v>6.8</v>
      </c>
      <c r="S13" s="448"/>
    </row>
    <row r="14" spans="1:20" ht="53.25" customHeight="1" x14ac:dyDescent="0.25">
      <c r="A14" s="473" t="s">
        <v>254</v>
      </c>
      <c r="B14" s="550" t="s">
        <v>518</v>
      </c>
      <c r="C14" s="354" t="s">
        <v>17</v>
      </c>
      <c r="D14" s="305" t="s">
        <v>18</v>
      </c>
      <c r="E14" s="305" t="s">
        <v>316</v>
      </c>
      <c r="F14" s="305" t="s">
        <v>519</v>
      </c>
      <c r="G14" s="306" t="s">
        <v>520</v>
      </c>
      <c r="H14" s="6">
        <v>1367.3</v>
      </c>
      <c r="I14" s="13">
        <v>1367.3</v>
      </c>
      <c r="J14" s="13">
        <v>1309.4000000000001</v>
      </c>
      <c r="K14" s="13">
        <f>1648.2</f>
        <v>1648.2</v>
      </c>
      <c r="L14" s="13">
        <v>1812.7</v>
      </c>
      <c r="M14" s="13"/>
      <c r="N14" s="12"/>
      <c r="O14" s="13"/>
      <c r="P14" s="13">
        <f t="shared" si="2"/>
        <v>0</v>
      </c>
      <c r="Q14" s="13">
        <f t="shared" si="0"/>
        <v>0</v>
      </c>
      <c r="R14" s="13">
        <f t="shared" si="1"/>
        <v>7504.9</v>
      </c>
      <c r="S14" s="447" t="s">
        <v>521</v>
      </c>
    </row>
    <row r="15" spans="1:20" ht="49.5" customHeight="1" x14ac:dyDescent="0.25">
      <c r="A15" s="474"/>
      <c r="B15" s="551"/>
      <c r="C15" s="355"/>
      <c r="D15" s="305" t="s">
        <v>18</v>
      </c>
      <c r="E15" s="305" t="s">
        <v>316</v>
      </c>
      <c r="F15" s="305" t="s">
        <v>522</v>
      </c>
      <c r="G15" s="306">
        <v>622</v>
      </c>
      <c r="H15" s="6">
        <v>344.4</v>
      </c>
      <c r="I15" s="13">
        <v>344.4</v>
      </c>
      <c r="J15" s="13">
        <v>338.1</v>
      </c>
      <c r="K15" s="307">
        <v>0</v>
      </c>
      <c r="L15" s="13"/>
      <c r="M15" s="13"/>
      <c r="N15" s="12"/>
      <c r="O15" s="13"/>
      <c r="P15" s="13">
        <f t="shared" si="2"/>
        <v>0</v>
      </c>
      <c r="Q15" s="13">
        <f t="shared" si="0"/>
        <v>0</v>
      </c>
      <c r="R15" s="13">
        <f t="shared" si="1"/>
        <v>1026.9000000000001</v>
      </c>
      <c r="S15" s="552"/>
    </row>
    <row r="16" spans="1:20" ht="46.5" customHeight="1" x14ac:dyDescent="0.25">
      <c r="A16" s="474"/>
      <c r="B16" s="550" t="s">
        <v>523</v>
      </c>
      <c r="C16" s="355"/>
      <c r="D16" s="305" t="s">
        <v>18</v>
      </c>
      <c r="E16" s="305" t="s">
        <v>316</v>
      </c>
      <c r="F16" s="305" t="s">
        <v>524</v>
      </c>
      <c r="G16" s="306" t="s">
        <v>525</v>
      </c>
      <c r="H16" s="6">
        <v>1.4</v>
      </c>
      <c r="I16" s="13">
        <v>286.10000000000002</v>
      </c>
      <c r="J16" s="13">
        <v>746.2</v>
      </c>
      <c r="K16" s="13">
        <v>358.1</v>
      </c>
      <c r="L16" s="13">
        <v>358.1</v>
      </c>
      <c r="M16" s="13">
        <v>401.7</v>
      </c>
      <c r="N16" s="12"/>
      <c r="O16" s="13">
        <f>338.1+79.3</f>
        <v>417.40000000000003</v>
      </c>
      <c r="P16" s="13">
        <f>338.1+79.3</f>
        <v>417.40000000000003</v>
      </c>
      <c r="Q16" s="13">
        <f t="shared" si="0"/>
        <v>417.40000000000003</v>
      </c>
      <c r="R16" s="13">
        <f t="shared" si="1"/>
        <v>3403.8</v>
      </c>
      <c r="S16" s="552"/>
    </row>
    <row r="17" spans="1:20" ht="79.150000000000006" customHeight="1" x14ac:dyDescent="0.25">
      <c r="A17" s="474"/>
      <c r="B17" s="551"/>
      <c r="C17" s="355"/>
      <c r="D17" s="305" t="s">
        <v>18</v>
      </c>
      <c r="E17" s="305" t="s">
        <v>316</v>
      </c>
      <c r="F17" s="305" t="s">
        <v>526</v>
      </c>
      <c r="G17" s="306" t="s">
        <v>527</v>
      </c>
      <c r="H17" s="6">
        <v>0.4</v>
      </c>
      <c r="I17" s="13">
        <v>72.099999999999994</v>
      </c>
      <c r="J17" s="13">
        <v>73.5</v>
      </c>
      <c r="K17" s="13">
        <v>580.79999999999995</v>
      </c>
      <c r="L17" s="13">
        <v>516.5</v>
      </c>
      <c r="M17" s="13">
        <v>579.79999999999995</v>
      </c>
      <c r="N17" s="12"/>
      <c r="O17" s="13">
        <v>0</v>
      </c>
      <c r="P17" s="13">
        <v>0</v>
      </c>
      <c r="Q17" s="13">
        <f t="shared" si="0"/>
        <v>0</v>
      </c>
      <c r="R17" s="13">
        <f t="shared" si="1"/>
        <v>1823.1</v>
      </c>
      <c r="S17" s="552"/>
    </row>
    <row r="18" spans="1:20" ht="62.25" customHeight="1" x14ac:dyDescent="0.25">
      <c r="A18" s="475"/>
      <c r="B18" s="308" t="s">
        <v>528</v>
      </c>
      <c r="C18" s="373"/>
      <c r="D18" s="305" t="s">
        <v>18</v>
      </c>
      <c r="E18" s="305" t="s">
        <v>316</v>
      </c>
      <c r="F18" s="305" t="s">
        <v>15</v>
      </c>
      <c r="G18" s="305" t="s">
        <v>15</v>
      </c>
      <c r="H18" s="13">
        <v>533</v>
      </c>
      <c r="I18" s="13">
        <v>705.2</v>
      </c>
      <c r="J18" s="13">
        <v>691.4</v>
      </c>
      <c r="K18" s="13">
        <v>691.4</v>
      </c>
      <c r="L18" s="13">
        <v>691.4</v>
      </c>
      <c r="M18" s="13">
        <f>579.8+201.4</f>
        <v>781.19999999999993</v>
      </c>
      <c r="N18" s="12">
        <v>0</v>
      </c>
      <c r="O18" s="13">
        <v>0</v>
      </c>
      <c r="P18" s="13">
        <v>0</v>
      </c>
      <c r="Q18" s="13">
        <f t="shared" si="0"/>
        <v>0</v>
      </c>
      <c r="R18" s="13">
        <f t="shared" si="1"/>
        <v>4093.6</v>
      </c>
      <c r="S18" s="448"/>
    </row>
    <row r="19" spans="1:20" ht="95.45" customHeight="1" x14ac:dyDescent="0.25">
      <c r="A19" s="309"/>
      <c r="B19" s="308" t="s">
        <v>529</v>
      </c>
      <c r="C19" s="6" t="s">
        <v>17</v>
      </c>
      <c r="D19" s="305" t="s">
        <v>18</v>
      </c>
      <c r="E19" s="305" t="s">
        <v>316</v>
      </c>
      <c r="F19" s="305" t="s">
        <v>530</v>
      </c>
      <c r="G19" s="305" t="s">
        <v>531</v>
      </c>
      <c r="H19" s="13"/>
      <c r="I19" s="13"/>
      <c r="J19" s="13"/>
      <c r="K19" s="13"/>
      <c r="L19" s="13"/>
      <c r="M19" s="13"/>
      <c r="N19" s="12"/>
      <c r="O19" s="13"/>
      <c r="P19" s="13">
        <f t="shared" si="2"/>
        <v>0</v>
      </c>
      <c r="Q19" s="13">
        <f t="shared" si="0"/>
        <v>0</v>
      </c>
      <c r="R19" s="13">
        <f t="shared" si="1"/>
        <v>0</v>
      </c>
      <c r="S19" s="310"/>
    </row>
    <row r="20" spans="1:20" ht="129.75" customHeight="1" x14ac:dyDescent="0.25">
      <c r="A20" s="296" t="s">
        <v>328</v>
      </c>
      <c r="B20" s="311" t="s">
        <v>532</v>
      </c>
      <c r="C20" s="6" t="s">
        <v>17</v>
      </c>
      <c r="D20" s="160" t="s">
        <v>18</v>
      </c>
      <c r="E20" s="160" t="s">
        <v>316</v>
      </c>
      <c r="F20" s="160" t="s">
        <v>533</v>
      </c>
      <c r="G20" s="160" t="s">
        <v>534</v>
      </c>
      <c r="H20" s="13">
        <v>2887.9</v>
      </c>
      <c r="I20" s="13">
        <v>3076.7</v>
      </c>
      <c r="J20" s="13">
        <v>2913.1</v>
      </c>
      <c r="K20" s="13">
        <v>2917.5</v>
      </c>
      <c r="L20" s="13">
        <v>3303.7</v>
      </c>
      <c r="M20" s="13">
        <v>5258.7</v>
      </c>
      <c r="N20" s="12">
        <v>1637.8</v>
      </c>
      <c r="O20" s="13">
        <v>5927.4</v>
      </c>
      <c r="P20" s="13">
        <v>5927.4</v>
      </c>
      <c r="Q20" s="13">
        <f t="shared" si="0"/>
        <v>5927.4</v>
      </c>
      <c r="R20" s="13">
        <f t="shared" si="1"/>
        <v>39777.600000000006</v>
      </c>
      <c r="S20" s="312" t="s">
        <v>535</v>
      </c>
      <c r="T20" s="36">
        <v>4</v>
      </c>
    </row>
    <row r="21" spans="1:20" ht="140.25" customHeight="1" x14ac:dyDescent="0.25">
      <c r="A21" s="296" t="s">
        <v>536</v>
      </c>
      <c r="B21" s="311" t="s">
        <v>537</v>
      </c>
      <c r="C21" s="6" t="s">
        <v>17</v>
      </c>
      <c r="D21" s="160" t="s">
        <v>18</v>
      </c>
      <c r="E21" s="160" t="s">
        <v>316</v>
      </c>
      <c r="F21" s="160" t="s">
        <v>538</v>
      </c>
      <c r="G21" s="160" t="s">
        <v>295</v>
      </c>
      <c r="H21" s="13">
        <v>1476.3</v>
      </c>
      <c r="I21" s="13">
        <v>1534.3</v>
      </c>
      <c r="J21" s="13">
        <v>1254.8</v>
      </c>
      <c r="K21" s="13">
        <v>1265.7</v>
      </c>
      <c r="L21" s="13">
        <v>1123.4000000000001</v>
      </c>
      <c r="M21" s="13">
        <v>1171.3</v>
      </c>
      <c r="N21" s="12"/>
      <c r="O21" s="13">
        <v>1284</v>
      </c>
      <c r="P21" s="13">
        <v>1284</v>
      </c>
      <c r="Q21" s="13">
        <f t="shared" si="0"/>
        <v>1284</v>
      </c>
      <c r="R21" s="13">
        <f t="shared" si="1"/>
        <v>11677.8</v>
      </c>
      <c r="S21" s="312" t="s">
        <v>539</v>
      </c>
    </row>
    <row r="22" spans="1:20" ht="140.25" hidden="1" customHeight="1" x14ac:dyDescent="0.25">
      <c r="A22" s="296" t="s">
        <v>540</v>
      </c>
      <c r="B22" s="311" t="s">
        <v>541</v>
      </c>
      <c r="C22" s="6" t="s">
        <v>17</v>
      </c>
      <c r="D22" s="160"/>
      <c r="E22" s="160"/>
      <c r="F22" s="160"/>
      <c r="G22" s="160"/>
      <c r="H22" s="13"/>
      <c r="I22" s="13"/>
      <c r="J22" s="313"/>
      <c r="K22" s="13"/>
      <c r="L22" s="13"/>
      <c r="M22" s="13"/>
      <c r="N22" s="12"/>
      <c r="O22" s="13"/>
      <c r="P22" s="13">
        <f t="shared" si="2"/>
        <v>0</v>
      </c>
      <c r="Q22" s="13">
        <f t="shared" si="0"/>
        <v>0</v>
      </c>
      <c r="R22" s="13">
        <f t="shared" si="1"/>
        <v>0</v>
      </c>
      <c r="S22" s="173"/>
    </row>
    <row r="23" spans="1:20" ht="21" customHeight="1" x14ac:dyDescent="0.25">
      <c r="A23" s="505" t="s">
        <v>319</v>
      </c>
      <c r="B23" s="505"/>
      <c r="C23" s="314"/>
      <c r="D23" s="314"/>
      <c r="E23" s="314"/>
      <c r="F23" s="314"/>
      <c r="G23" s="314"/>
      <c r="H23" s="13">
        <f>SUM(H9:H22)</f>
        <v>6929.0000000000009</v>
      </c>
      <c r="I23" s="13">
        <f>SUM(I9:I22)</f>
        <v>7703.2</v>
      </c>
      <c r="J23" s="13">
        <f>SUM(J9:J22)</f>
        <v>7414.4000000000005</v>
      </c>
      <c r="K23" s="13">
        <f>SUM(K8:K22)</f>
        <v>7572.3</v>
      </c>
      <c r="L23" s="13">
        <f>SUM(L8:L22)</f>
        <v>7980.7999999999993</v>
      </c>
      <c r="M23" s="13">
        <f>SUM(M8:M22)</f>
        <v>8394.0999999999985</v>
      </c>
      <c r="N23" s="12">
        <f>SUM(N8:N22)</f>
        <v>1637.8</v>
      </c>
      <c r="O23" s="13">
        <f>SUM(O8:O22)</f>
        <v>7628.7999999999993</v>
      </c>
      <c r="P23" s="13">
        <f t="shared" si="2"/>
        <v>7628.7999999999993</v>
      </c>
      <c r="Q23" s="13">
        <f t="shared" si="0"/>
        <v>7628.7999999999993</v>
      </c>
      <c r="R23" s="13">
        <f t="shared" si="1"/>
        <v>70518</v>
      </c>
      <c r="S23" s="25"/>
    </row>
    <row r="24" spans="1:20" s="280" customFormat="1" ht="30" customHeight="1" x14ac:dyDescent="0.2">
      <c r="A24" s="549" t="s">
        <v>501</v>
      </c>
      <c r="B24" s="549"/>
      <c r="C24" s="549"/>
      <c r="D24" s="549"/>
      <c r="E24" s="549"/>
      <c r="F24" s="549"/>
      <c r="G24" s="549"/>
      <c r="H24" s="549"/>
      <c r="I24" s="549"/>
      <c r="J24" s="549"/>
      <c r="K24" s="549"/>
      <c r="L24" s="549"/>
      <c r="M24" s="549"/>
      <c r="N24" s="549"/>
      <c r="O24" s="549"/>
      <c r="P24" s="549"/>
      <c r="Q24" s="549"/>
      <c r="R24" s="549"/>
      <c r="S24" s="549"/>
    </row>
    <row r="25" spans="1:20" ht="35.1" customHeight="1" x14ac:dyDescent="0.25">
      <c r="A25" s="534" t="s">
        <v>330</v>
      </c>
      <c r="B25" s="538" t="s">
        <v>542</v>
      </c>
      <c r="C25" s="377" t="s">
        <v>17</v>
      </c>
      <c r="D25" s="164" t="s">
        <v>18</v>
      </c>
      <c r="E25" s="164" t="s">
        <v>316</v>
      </c>
      <c r="F25" s="164" t="s">
        <v>510</v>
      </c>
      <c r="G25" s="164" t="s">
        <v>297</v>
      </c>
      <c r="H25" s="12">
        <v>18.7</v>
      </c>
      <c r="I25" s="12"/>
      <c r="J25" s="12"/>
      <c r="K25" s="25"/>
      <c r="L25" s="25"/>
      <c r="M25" s="25"/>
      <c r="N25" s="27"/>
      <c r="O25" s="25"/>
      <c r="P25" s="25">
        <f>O25</f>
        <v>0</v>
      </c>
      <c r="Q25" s="25">
        <f>P25</f>
        <v>0</v>
      </c>
      <c r="R25" s="315">
        <f>SUM(H25:Q25)</f>
        <v>18.7</v>
      </c>
      <c r="S25" s="538" t="s">
        <v>543</v>
      </c>
    </row>
    <row r="26" spans="1:20" ht="35.1" customHeight="1" x14ac:dyDescent="0.25">
      <c r="A26" s="535"/>
      <c r="B26" s="539"/>
      <c r="C26" s="429"/>
      <c r="D26" s="164" t="s">
        <v>18</v>
      </c>
      <c r="E26" s="164" t="s">
        <v>316</v>
      </c>
      <c r="F26" s="164" t="s">
        <v>510</v>
      </c>
      <c r="G26" s="164" t="s">
        <v>266</v>
      </c>
      <c r="H26" s="12"/>
      <c r="I26" s="12">
        <v>18.7</v>
      </c>
      <c r="J26" s="12"/>
      <c r="K26" s="303"/>
      <c r="L26" s="303"/>
      <c r="M26" s="303"/>
      <c r="N26" s="304"/>
      <c r="O26" s="303"/>
      <c r="P26" s="25">
        <f t="shared" ref="P26:Q38" si="3">O26</f>
        <v>0</v>
      </c>
      <c r="Q26" s="25">
        <f t="shared" si="3"/>
        <v>0</v>
      </c>
      <c r="R26" s="315">
        <f t="shared" ref="R26:R38" si="4">SUM(H26:Q26)</f>
        <v>18.7</v>
      </c>
      <c r="S26" s="539"/>
    </row>
    <row r="27" spans="1:20" ht="35.1" customHeight="1" x14ac:dyDescent="0.25">
      <c r="A27" s="534" t="s">
        <v>331</v>
      </c>
      <c r="B27" s="536" t="s">
        <v>544</v>
      </c>
      <c r="C27" s="377" t="s">
        <v>17</v>
      </c>
      <c r="D27" s="164" t="s">
        <v>18</v>
      </c>
      <c r="E27" s="164" t="s">
        <v>316</v>
      </c>
      <c r="F27" s="164" t="s">
        <v>510</v>
      </c>
      <c r="G27" s="164" t="s">
        <v>297</v>
      </c>
      <c r="H27" s="315">
        <v>13.05</v>
      </c>
      <c r="I27" s="12"/>
      <c r="J27" s="12"/>
      <c r="K27" s="13"/>
      <c r="L27" s="13"/>
      <c r="M27" s="13"/>
      <c r="N27" s="12"/>
      <c r="O27" s="13"/>
      <c r="P27" s="25">
        <f t="shared" si="3"/>
        <v>0</v>
      </c>
      <c r="Q27" s="25">
        <f t="shared" si="3"/>
        <v>0</v>
      </c>
      <c r="R27" s="315">
        <f t="shared" si="4"/>
        <v>13.05</v>
      </c>
      <c r="S27" s="538" t="s">
        <v>545</v>
      </c>
    </row>
    <row r="28" spans="1:20" ht="35.1" customHeight="1" x14ac:dyDescent="0.25">
      <c r="A28" s="535"/>
      <c r="B28" s="537"/>
      <c r="C28" s="429"/>
      <c r="D28" s="164" t="s">
        <v>18</v>
      </c>
      <c r="E28" s="164" t="s">
        <v>316</v>
      </c>
      <c r="F28" s="171" t="s">
        <v>510</v>
      </c>
      <c r="G28" s="171" t="s">
        <v>266</v>
      </c>
      <c r="H28" s="315">
        <v>16.25</v>
      </c>
      <c r="I28" s="315">
        <v>29.3</v>
      </c>
      <c r="J28" s="315"/>
      <c r="K28" s="303"/>
      <c r="L28" s="303"/>
      <c r="M28" s="303"/>
      <c r="N28" s="304"/>
      <c r="O28" s="303"/>
      <c r="P28" s="25">
        <f t="shared" si="3"/>
        <v>0</v>
      </c>
      <c r="Q28" s="25">
        <f t="shared" si="3"/>
        <v>0</v>
      </c>
      <c r="R28" s="315">
        <f t="shared" si="4"/>
        <v>45.55</v>
      </c>
      <c r="S28" s="539"/>
    </row>
    <row r="29" spans="1:20" ht="35.1" customHeight="1" x14ac:dyDescent="0.25">
      <c r="A29" s="540" t="s">
        <v>332</v>
      </c>
      <c r="B29" s="543" t="s">
        <v>546</v>
      </c>
      <c r="C29" s="377" t="s">
        <v>17</v>
      </c>
      <c r="D29" s="164" t="s">
        <v>18</v>
      </c>
      <c r="E29" s="141" t="s">
        <v>316</v>
      </c>
      <c r="F29" s="171" t="s">
        <v>510</v>
      </c>
      <c r="G29" s="171" t="s">
        <v>297</v>
      </c>
      <c r="H29" s="24">
        <v>13.7</v>
      </c>
      <c r="I29" s="24"/>
      <c r="J29" s="24"/>
      <c r="K29" s="24"/>
      <c r="L29" s="24"/>
      <c r="M29" s="24"/>
      <c r="N29" s="24"/>
      <c r="O29" s="24"/>
      <c r="P29" s="25">
        <f t="shared" si="3"/>
        <v>0</v>
      </c>
      <c r="Q29" s="25">
        <f t="shared" si="3"/>
        <v>0</v>
      </c>
      <c r="R29" s="315">
        <f t="shared" si="4"/>
        <v>13.7</v>
      </c>
      <c r="S29" s="546"/>
    </row>
    <row r="30" spans="1:20" ht="35.1" customHeight="1" x14ac:dyDescent="0.25">
      <c r="A30" s="541"/>
      <c r="B30" s="544"/>
      <c r="C30" s="378"/>
      <c r="D30" s="164" t="s">
        <v>18</v>
      </c>
      <c r="E30" s="316" t="s">
        <v>316</v>
      </c>
      <c r="F30" s="171" t="s">
        <v>510</v>
      </c>
      <c r="G30" s="171" t="s">
        <v>266</v>
      </c>
      <c r="H30" s="24"/>
      <c r="I30" s="24">
        <v>13.7</v>
      </c>
      <c r="J30" s="24"/>
      <c r="K30" s="24"/>
      <c r="L30" s="24"/>
      <c r="M30" s="24"/>
      <c r="N30" s="24"/>
      <c r="O30" s="24"/>
      <c r="P30" s="25">
        <f t="shared" si="3"/>
        <v>0</v>
      </c>
      <c r="Q30" s="25">
        <f t="shared" si="3"/>
        <v>0</v>
      </c>
      <c r="R30" s="315">
        <f t="shared" si="4"/>
        <v>13.7</v>
      </c>
      <c r="S30" s="547"/>
    </row>
    <row r="31" spans="1:20" ht="35.1" customHeight="1" x14ac:dyDescent="0.25">
      <c r="A31" s="541"/>
      <c r="B31" s="544"/>
      <c r="C31" s="378"/>
      <c r="D31" s="164" t="s">
        <v>18</v>
      </c>
      <c r="E31" s="141" t="s">
        <v>316</v>
      </c>
      <c r="F31" s="171" t="s">
        <v>547</v>
      </c>
      <c r="G31" s="171" t="s">
        <v>548</v>
      </c>
      <c r="H31" s="24"/>
      <c r="I31" s="24"/>
      <c r="J31" s="24"/>
      <c r="K31" s="22">
        <v>83</v>
      </c>
      <c r="L31" s="22"/>
      <c r="M31" s="22"/>
      <c r="N31" s="24"/>
      <c r="O31" s="22"/>
      <c r="P31" s="25">
        <f t="shared" si="3"/>
        <v>0</v>
      </c>
      <c r="Q31" s="25">
        <f t="shared" si="3"/>
        <v>0</v>
      </c>
      <c r="R31" s="315">
        <f t="shared" si="4"/>
        <v>83</v>
      </c>
      <c r="S31" s="547"/>
    </row>
    <row r="32" spans="1:20" ht="35.1" customHeight="1" x14ac:dyDescent="0.25">
      <c r="A32" s="541"/>
      <c r="B32" s="544"/>
      <c r="C32" s="378"/>
      <c r="D32" s="164" t="s">
        <v>18</v>
      </c>
      <c r="E32" s="316" t="s">
        <v>316</v>
      </c>
      <c r="F32" s="171" t="s">
        <v>547</v>
      </c>
      <c r="G32" s="171" t="s">
        <v>266</v>
      </c>
      <c r="H32" s="24"/>
      <c r="I32" s="24"/>
      <c r="J32" s="24"/>
      <c r="K32" s="22">
        <v>371.8</v>
      </c>
      <c r="L32" s="22"/>
      <c r="M32" s="22"/>
      <c r="N32" s="24"/>
      <c r="O32" s="22"/>
      <c r="P32" s="25">
        <f t="shared" si="3"/>
        <v>0</v>
      </c>
      <c r="Q32" s="25">
        <f t="shared" si="3"/>
        <v>0</v>
      </c>
      <c r="R32" s="315">
        <f t="shared" si="4"/>
        <v>371.8</v>
      </c>
      <c r="S32" s="547"/>
    </row>
    <row r="33" spans="1:19" ht="35.1" customHeight="1" x14ac:dyDescent="0.25">
      <c r="A33" s="542"/>
      <c r="B33" s="545"/>
      <c r="C33" s="429"/>
      <c r="D33" s="164" t="s">
        <v>18</v>
      </c>
      <c r="E33" s="141" t="s">
        <v>316</v>
      </c>
      <c r="F33" s="171" t="s">
        <v>549</v>
      </c>
      <c r="G33" s="171" t="s">
        <v>268</v>
      </c>
      <c r="H33" s="24"/>
      <c r="I33" s="24"/>
      <c r="J33" s="24"/>
      <c r="K33" s="22">
        <v>31.2</v>
      </c>
      <c r="L33" s="22"/>
      <c r="M33" s="22"/>
      <c r="N33" s="24"/>
      <c r="O33" s="22"/>
      <c r="P33" s="25">
        <f t="shared" si="3"/>
        <v>0</v>
      </c>
      <c r="Q33" s="25">
        <f t="shared" si="3"/>
        <v>0</v>
      </c>
      <c r="R33" s="315">
        <f t="shared" si="4"/>
        <v>31.2</v>
      </c>
      <c r="S33" s="548"/>
    </row>
    <row r="34" spans="1:19" s="98" customFormat="1" ht="35.1" customHeight="1" x14ac:dyDescent="0.25">
      <c r="A34" s="532" t="s">
        <v>452</v>
      </c>
      <c r="B34" s="532"/>
      <c r="C34" s="317"/>
      <c r="D34" s="317"/>
      <c r="E34" s="317"/>
      <c r="F34" s="317"/>
      <c r="G34" s="317"/>
      <c r="H34" s="13">
        <f>H25+H26+H27+H28+H29+H30</f>
        <v>61.7</v>
      </c>
      <c r="I34" s="13">
        <f>I25+I26+I27+I28+I29+I30</f>
        <v>61.7</v>
      </c>
      <c r="J34" s="13">
        <f>J25+J26+J27+J28+J29+J30</f>
        <v>0</v>
      </c>
      <c r="K34" s="13">
        <f>SUM(K26:K33)</f>
        <v>486</v>
      </c>
      <c r="L34" s="13">
        <f>SUM(L26:L33)</f>
        <v>0</v>
      </c>
      <c r="M34" s="13">
        <f>SUM(M26:M33)</f>
        <v>0</v>
      </c>
      <c r="N34" s="12">
        <f>SUM(N26:N33)</f>
        <v>0</v>
      </c>
      <c r="O34" s="13"/>
      <c r="P34" s="25">
        <f t="shared" si="3"/>
        <v>0</v>
      </c>
      <c r="Q34" s="25">
        <f t="shared" si="3"/>
        <v>0</v>
      </c>
      <c r="R34" s="315">
        <f t="shared" si="4"/>
        <v>609.4</v>
      </c>
      <c r="S34" s="22"/>
    </row>
    <row r="35" spans="1:19" ht="35.1" customHeight="1" x14ac:dyDescent="0.25">
      <c r="A35" s="510" t="s">
        <v>320</v>
      </c>
      <c r="B35" s="510"/>
      <c r="C35" s="179"/>
      <c r="D35" s="179"/>
      <c r="E35" s="179"/>
      <c r="F35" s="179"/>
      <c r="G35" s="179"/>
      <c r="H35" s="13">
        <f t="shared" ref="H35:M35" si="5">H23+H34</f>
        <v>6990.7000000000007</v>
      </c>
      <c r="I35" s="13">
        <f t="shared" si="5"/>
        <v>7764.9</v>
      </c>
      <c r="J35" s="13">
        <f t="shared" si="5"/>
        <v>7414.4000000000005</v>
      </c>
      <c r="K35" s="13">
        <f>K23+K34</f>
        <v>8058.3</v>
      </c>
      <c r="L35" s="13">
        <f t="shared" si="5"/>
        <v>7980.7999999999993</v>
      </c>
      <c r="M35" s="13">
        <f t="shared" si="5"/>
        <v>8394.0999999999985</v>
      </c>
      <c r="N35" s="12">
        <f>N23+N34</f>
        <v>1637.8</v>
      </c>
      <c r="O35" s="13">
        <f>O23+O34</f>
        <v>7628.7999999999993</v>
      </c>
      <c r="P35" s="108">
        <f t="shared" si="3"/>
        <v>7628.7999999999993</v>
      </c>
      <c r="Q35" s="108">
        <f t="shared" si="3"/>
        <v>7628.7999999999993</v>
      </c>
      <c r="R35" s="315">
        <f t="shared" si="4"/>
        <v>71127.400000000009</v>
      </c>
      <c r="S35" s="25"/>
    </row>
    <row r="36" spans="1:19" ht="35.1" customHeight="1" x14ac:dyDescent="0.25">
      <c r="A36" s="441" t="s">
        <v>321</v>
      </c>
      <c r="B36" s="442"/>
      <c r="C36" s="179"/>
      <c r="D36" s="179"/>
      <c r="E36" s="179"/>
      <c r="F36" s="179"/>
      <c r="G36" s="179"/>
      <c r="H36" s="13">
        <f>H14+H15+H20</f>
        <v>4599.6000000000004</v>
      </c>
      <c r="I36" s="13">
        <f>I14+I15+I20</f>
        <v>4788.3999999999996</v>
      </c>
      <c r="J36" s="13">
        <f>J14+J15+J20</f>
        <v>4560.6000000000004</v>
      </c>
      <c r="K36" s="13">
        <f>K14+K15+K20</f>
        <v>4565.7</v>
      </c>
      <c r="L36" s="13">
        <f>L14+L15+L20+L19</f>
        <v>5116.3999999999996</v>
      </c>
      <c r="M36" s="13">
        <f>M14+M15+M20+M19</f>
        <v>5258.7</v>
      </c>
      <c r="N36" s="12">
        <f>N14+N15+N20+N19</f>
        <v>1637.8</v>
      </c>
      <c r="O36" s="13">
        <f>O14+O15+O20+O19</f>
        <v>5927.4</v>
      </c>
      <c r="P36" s="108">
        <f t="shared" si="3"/>
        <v>5927.4</v>
      </c>
      <c r="Q36" s="108">
        <f t="shared" si="3"/>
        <v>5927.4</v>
      </c>
      <c r="R36" s="315">
        <f t="shared" si="4"/>
        <v>48309.4</v>
      </c>
      <c r="S36" s="25"/>
    </row>
    <row r="37" spans="1:19" ht="35.1" customHeight="1" x14ac:dyDescent="0.25">
      <c r="A37" s="441" t="s">
        <v>322</v>
      </c>
      <c r="B37" s="442"/>
      <c r="C37" s="179"/>
      <c r="D37" s="179"/>
      <c r="E37" s="179"/>
      <c r="F37" s="179"/>
      <c r="G37" s="179"/>
      <c r="H37" s="13">
        <f>H9+H10+H11+H12+H13+H16+H17+H21+H25+H26+H27+H28+H29+H30+H31+H32+H33</f>
        <v>1858.1</v>
      </c>
      <c r="I37" s="13">
        <f>I9+I10+I11+I12+I13+I16+I17+I21+I25+I26+I27+I28+I29+I30+I31+I32+I33</f>
        <v>2271.2999999999997</v>
      </c>
      <c r="J37" s="13">
        <f>J9+J10+J11+J12+J13+J16+J17+J21+J25+J26+J27+J28+J29+J30+J31+J32+J33</f>
        <v>2162.4</v>
      </c>
      <c r="K37" s="13">
        <f>K9+K10+K11+K12+K13+K16+K17+K21+K26+K27+K28+K29+K30+K31+K32+K33+K25</f>
        <v>2801.2</v>
      </c>
      <c r="L37" s="13">
        <f>L9+L10+L11+L12+L13+L16+L17+L21+L26+L27+L28+L29+L30+L31+L32+L33+L25</f>
        <v>2173</v>
      </c>
      <c r="M37" s="13">
        <f>M9+M10+M11+M12+M13+M16+M17+M21+M26+M27+M28+M29+M30+M31+M32+M33+M25</f>
        <v>2354.1999999999998</v>
      </c>
      <c r="N37" s="12">
        <f>N9+N10+N11+N12+N13+N16+N17+N21+N26+N27+N28+N29+N30+N31+N32+N33+N25</f>
        <v>0</v>
      </c>
      <c r="O37" s="13">
        <f>O9+O10+O11+O12+O13+O16+O17+O21+O26+O27+O28+O29+O30+O31+O32+O33+O25</f>
        <v>1701.4</v>
      </c>
      <c r="P37" s="108">
        <f t="shared" si="3"/>
        <v>1701.4</v>
      </c>
      <c r="Q37" s="108">
        <f t="shared" si="3"/>
        <v>1701.4</v>
      </c>
      <c r="R37" s="315">
        <f t="shared" si="4"/>
        <v>18724.400000000001</v>
      </c>
      <c r="S37" s="25"/>
    </row>
    <row r="38" spans="1:19" ht="35.1" customHeight="1" x14ac:dyDescent="0.25">
      <c r="A38" s="441" t="s">
        <v>323</v>
      </c>
      <c r="B38" s="442"/>
      <c r="C38" s="179"/>
      <c r="D38" s="179"/>
      <c r="E38" s="179"/>
      <c r="F38" s="179"/>
      <c r="G38" s="179"/>
      <c r="H38" s="13">
        <f t="shared" ref="H38:M38" si="6">H18</f>
        <v>533</v>
      </c>
      <c r="I38" s="13">
        <f t="shared" si="6"/>
        <v>705.2</v>
      </c>
      <c r="J38" s="13">
        <f t="shared" si="6"/>
        <v>691.4</v>
      </c>
      <c r="K38" s="13">
        <f t="shared" si="6"/>
        <v>691.4</v>
      </c>
      <c r="L38" s="13">
        <f t="shared" si="6"/>
        <v>691.4</v>
      </c>
      <c r="M38" s="13">
        <f t="shared" si="6"/>
        <v>781.19999999999993</v>
      </c>
      <c r="N38" s="12">
        <f>N18</f>
        <v>0</v>
      </c>
      <c r="O38" s="13">
        <f>O18</f>
        <v>0</v>
      </c>
      <c r="P38" s="108">
        <f t="shared" si="3"/>
        <v>0</v>
      </c>
      <c r="Q38" s="108">
        <f t="shared" si="3"/>
        <v>0</v>
      </c>
      <c r="R38" s="315">
        <f t="shared" si="4"/>
        <v>4093.6</v>
      </c>
      <c r="S38" s="25"/>
    </row>
    <row r="39" spans="1:19" s="322" customFormat="1" ht="35.1" customHeight="1" x14ac:dyDescent="0.25">
      <c r="A39" s="533"/>
      <c r="B39" s="533"/>
      <c r="C39" s="318"/>
      <c r="D39" s="318"/>
      <c r="E39" s="318"/>
      <c r="F39" s="318"/>
      <c r="G39" s="318"/>
      <c r="H39" s="318"/>
      <c r="I39" s="319"/>
      <c r="J39" s="319"/>
      <c r="K39" s="320"/>
      <c r="L39" s="320"/>
      <c r="M39" s="320"/>
      <c r="N39" s="321"/>
      <c r="O39" s="320"/>
      <c r="P39" s="320"/>
      <c r="Q39" s="320"/>
      <c r="R39" s="320"/>
    </row>
    <row r="40" spans="1:19" ht="35.1" customHeight="1" x14ac:dyDescent="0.3">
      <c r="A40" s="531" t="s">
        <v>33</v>
      </c>
      <c r="B40" s="531"/>
      <c r="C40" s="531"/>
      <c r="D40" s="323"/>
      <c r="E40" s="323"/>
      <c r="F40" s="323"/>
      <c r="G40" s="323"/>
      <c r="H40" s="323"/>
      <c r="I40" s="324"/>
      <c r="J40" s="205"/>
      <c r="K40" s="205"/>
      <c r="L40" s="205"/>
      <c r="M40" s="205"/>
      <c r="N40" s="325"/>
      <c r="O40" s="205"/>
      <c r="P40" s="205"/>
      <c r="Q40" s="205"/>
      <c r="R40" s="205"/>
      <c r="S40" s="326" t="s">
        <v>34</v>
      </c>
    </row>
    <row r="41" spans="1:19" x14ac:dyDescent="0.25">
      <c r="A41" s="189"/>
      <c r="B41" s="190"/>
      <c r="C41" s="191"/>
      <c r="D41" s="191"/>
      <c r="E41" s="191"/>
      <c r="F41" s="191"/>
      <c r="G41" s="191"/>
      <c r="H41" s="191"/>
    </row>
    <row r="42" spans="1:19" x14ac:dyDescent="0.25">
      <c r="A42" s="189"/>
      <c r="B42" s="190"/>
      <c r="C42" s="191"/>
      <c r="D42" s="191"/>
      <c r="E42" s="191"/>
      <c r="F42" s="191"/>
      <c r="G42" s="191"/>
      <c r="H42" s="191"/>
    </row>
    <row r="43" spans="1:19" x14ac:dyDescent="0.25">
      <c r="A43" s="189"/>
      <c r="B43" s="190"/>
      <c r="C43" s="191"/>
      <c r="D43" s="191"/>
      <c r="E43" s="191"/>
      <c r="F43" s="191"/>
      <c r="G43" s="191"/>
      <c r="H43" s="191"/>
    </row>
    <row r="44" spans="1:19" x14ac:dyDescent="0.25">
      <c r="A44" s="189"/>
      <c r="B44" s="190"/>
      <c r="C44" s="191"/>
      <c r="D44" s="191"/>
      <c r="E44" s="191"/>
      <c r="F44" s="191"/>
      <c r="G44" s="191"/>
      <c r="H44" s="191"/>
    </row>
    <row r="45" spans="1:19" x14ac:dyDescent="0.25">
      <c r="A45" s="189"/>
      <c r="B45" s="190"/>
      <c r="C45" s="191"/>
      <c r="D45" s="191"/>
      <c r="E45" s="191"/>
      <c r="F45" s="191"/>
      <c r="G45" s="191"/>
      <c r="H45" s="191"/>
    </row>
    <row r="46" spans="1:19" x14ac:dyDescent="0.25">
      <c r="A46" s="189"/>
      <c r="B46" s="190"/>
      <c r="C46" s="191"/>
      <c r="D46" s="191"/>
      <c r="E46" s="191"/>
      <c r="F46" s="191"/>
      <c r="G46" s="191"/>
      <c r="H46" s="191"/>
    </row>
    <row r="47" spans="1:19" x14ac:dyDescent="0.25">
      <c r="A47" s="189"/>
      <c r="B47" s="190"/>
      <c r="C47" s="191"/>
      <c r="D47" s="191"/>
      <c r="E47" s="191"/>
      <c r="F47" s="191"/>
      <c r="G47" s="191"/>
      <c r="H47" s="191"/>
    </row>
    <row r="48" spans="1:19" x14ac:dyDescent="0.25">
      <c r="A48" s="189"/>
      <c r="B48" s="190"/>
      <c r="C48" s="191"/>
      <c r="D48" s="191"/>
      <c r="E48" s="191"/>
      <c r="F48" s="191"/>
      <c r="G48" s="191"/>
      <c r="H48" s="191"/>
    </row>
    <row r="49" spans="1:8" x14ac:dyDescent="0.25">
      <c r="A49" s="189"/>
      <c r="B49" s="190"/>
      <c r="C49" s="191"/>
      <c r="D49" s="191"/>
      <c r="E49" s="191"/>
      <c r="F49" s="191"/>
      <c r="G49" s="191"/>
      <c r="H49" s="191"/>
    </row>
    <row r="50" spans="1:8" x14ac:dyDescent="0.25">
      <c r="A50" s="189"/>
      <c r="B50" s="190"/>
      <c r="C50" s="191"/>
      <c r="D50" s="191"/>
      <c r="E50" s="191"/>
      <c r="F50" s="191"/>
      <c r="G50" s="191"/>
      <c r="H50" s="191"/>
    </row>
    <row r="51" spans="1:8" x14ac:dyDescent="0.25">
      <c r="A51" s="189"/>
      <c r="B51" s="190"/>
      <c r="C51" s="191"/>
      <c r="D51" s="191"/>
      <c r="E51" s="191"/>
      <c r="F51" s="191"/>
      <c r="G51" s="191"/>
      <c r="H51" s="191"/>
    </row>
    <row r="52" spans="1:8" x14ac:dyDescent="0.25">
      <c r="A52" s="189"/>
      <c r="B52" s="190"/>
      <c r="C52" s="191"/>
      <c r="D52" s="191"/>
      <c r="E52" s="191"/>
      <c r="F52" s="191"/>
      <c r="G52" s="191"/>
      <c r="H52" s="191"/>
    </row>
    <row r="53" spans="1:8" x14ac:dyDescent="0.25">
      <c r="A53" s="189"/>
      <c r="B53" s="190"/>
      <c r="C53" s="191"/>
      <c r="D53" s="191"/>
      <c r="E53" s="191"/>
      <c r="F53" s="191"/>
      <c r="G53" s="191"/>
      <c r="H53" s="191"/>
    </row>
    <row r="54" spans="1:8" x14ac:dyDescent="0.25">
      <c r="A54" s="189"/>
      <c r="B54" s="190"/>
      <c r="C54" s="191"/>
      <c r="D54" s="191"/>
      <c r="E54" s="191"/>
      <c r="F54" s="191"/>
      <c r="G54" s="191"/>
      <c r="H54" s="191"/>
    </row>
    <row r="55" spans="1:8" x14ac:dyDescent="0.25">
      <c r="A55" s="189"/>
      <c r="B55" s="190"/>
      <c r="C55" s="191"/>
      <c r="D55" s="191"/>
      <c r="E55" s="191"/>
      <c r="F55" s="191"/>
      <c r="G55" s="191"/>
      <c r="H55" s="191"/>
    </row>
    <row r="56" spans="1:8" x14ac:dyDescent="0.25">
      <c r="A56" s="189"/>
      <c r="B56" s="190"/>
      <c r="C56" s="191"/>
      <c r="D56" s="191"/>
      <c r="E56" s="191"/>
      <c r="F56" s="191"/>
      <c r="G56" s="191"/>
      <c r="H56" s="191"/>
    </row>
    <row r="57" spans="1:8" x14ac:dyDescent="0.25">
      <c r="A57" s="189"/>
      <c r="B57" s="190"/>
      <c r="C57" s="191"/>
      <c r="D57" s="191"/>
      <c r="E57" s="191"/>
      <c r="F57" s="191"/>
      <c r="G57" s="191"/>
      <c r="H57" s="191"/>
    </row>
    <row r="58" spans="1:8" x14ac:dyDescent="0.25">
      <c r="A58" s="189"/>
      <c r="B58" s="190"/>
      <c r="C58" s="191"/>
      <c r="D58" s="191"/>
      <c r="E58" s="191"/>
      <c r="F58" s="191"/>
      <c r="G58" s="191"/>
      <c r="H58" s="191"/>
    </row>
    <row r="59" spans="1:8" x14ac:dyDescent="0.25">
      <c r="A59" s="189"/>
      <c r="B59" s="190"/>
      <c r="C59" s="191"/>
      <c r="D59" s="191"/>
      <c r="E59" s="191"/>
      <c r="F59" s="191"/>
      <c r="G59" s="191"/>
      <c r="H59" s="191"/>
    </row>
    <row r="60" spans="1:8" x14ac:dyDescent="0.25">
      <c r="A60" s="189"/>
      <c r="B60" s="190"/>
      <c r="C60" s="191"/>
      <c r="D60" s="191"/>
      <c r="E60" s="191"/>
      <c r="F60" s="191"/>
      <c r="G60" s="191"/>
      <c r="H60" s="191"/>
    </row>
    <row r="61" spans="1:8" x14ac:dyDescent="0.25">
      <c r="A61" s="189"/>
      <c r="B61" s="190"/>
      <c r="C61" s="191"/>
      <c r="D61" s="191"/>
      <c r="E61" s="191"/>
      <c r="F61" s="191"/>
      <c r="G61" s="191"/>
      <c r="H61" s="191"/>
    </row>
    <row r="62" spans="1:8" x14ac:dyDescent="0.25">
      <c r="A62" s="189"/>
      <c r="B62" s="190"/>
      <c r="C62" s="191"/>
      <c r="D62" s="191"/>
      <c r="E62" s="191"/>
      <c r="F62" s="191"/>
      <c r="G62" s="191"/>
      <c r="H62" s="191"/>
    </row>
    <row r="63" spans="1:8" x14ac:dyDescent="0.25">
      <c r="A63" s="189"/>
      <c r="B63" s="190"/>
      <c r="C63" s="191"/>
      <c r="D63" s="191"/>
      <c r="E63" s="191"/>
      <c r="F63" s="191"/>
      <c r="G63" s="191"/>
      <c r="H63" s="191"/>
    </row>
    <row r="64" spans="1:8" x14ac:dyDescent="0.25">
      <c r="A64" s="189"/>
      <c r="B64" s="190"/>
      <c r="C64" s="191"/>
      <c r="D64" s="191"/>
      <c r="E64" s="191"/>
      <c r="F64" s="191"/>
      <c r="G64" s="191"/>
      <c r="H64" s="191"/>
    </row>
    <row r="65" spans="1:8" x14ac:dyDescent="0.25">
      <c r="A65" s="189"/>
      <c r="B65" s="190"/>
      <c r="C65" s="191"/>
      <c r="D65" s="191"/>
      <c r="E65" s="191"/>
      <c r="F65" s="191"/>
      <c r="G65" s="191"/>
      <c r="H65" s="191"/>
    </row>
    <row r="66" spans="1:8" x14ac:dyDescent="0.25">
      <c r="A66" s="189"/>
      <c r="B66" s="190"/>
      <c r="C66" s="191"/>
      <c r="D66" s="191"/>
      <c r="E66" s="191"/>
      <c r="F66" s="191"/>
      <c r="G66" s="191"/>
      <c r="H66" s="191"/>
    </row>
    <row r="67" spans="1:8" x14ac:dyDescent="0.25">
      <c r="A67" s="189"/>
      <c r="B67" s="190"/>
      <c r="C67" s="191"/>
      <c r="D67" s="191"/>
      <c r="E67" s="191"/>
      <c r="F67" s="191"/>
      <c r="G67" s="191"/>
      <c r="H67" s="191"/>
    </row>
    <row r="68" spans="1:8" x14ac:dyDescent="0.25">
      <c r="A68" s="189"/>
      <c r="B68" s="190"/>
      <c r="C68" s="191"/>
      <c r="D68" s="191"/>
      <c r="E68" s="191"/>
      <c r="F68" s="191"/>
      <c r="G68" s="191"/>
      <c r="H68" s="191"/>
    </row>
    <row r="69" spans="1:8" x14ac:dyDescent="0.25">
      <c r="A69" s="189"/>
      <c r="B69" s="190"/>
      <c r="C69" s="191"/>
      <c r="D69" s="191"/>
      <c r="E69" s="191"/>
      <c r="F69" s="191"/>
      <c r="G69" s="191"/>
      <c r="H69" s="191"/>
    </row>
    <row r="70" spans="1:8" x14ac:dyDescent="0.25">
      <c r="A70" s="189"/>
      <c r="B70" s="190"/>
      <c r="C70" s="191"/>
      <c r="D70" s="191"/>
      <c r="E70" s="191"/>
      <c r="F70" s="191"/>
      <c r="G70" s="191"/>
      <c r="H70" s="191"/>
    </row>
    <row r="71" spans="1:8" x14ac:dyDescent="0.25">
      <c r="A71" s="189"/>
      <c r="B71" s="190"/>
      <c r="C71" s="191"/>
      <c r="D71" s="191"/>
      <c r="E71" s="191"/>
      <c r="F71" s="191"/>
      <c r="G71" s="191"/>
      <c r="H71" s="191"/>
    </row>
    <row r="72" spans="1:8" x14ac:dyDescent="0.25">
      <c r="A72" s="189"/>
      <c r="B72" s="190"/>
      <c r="C72" s="191"/>
      <c r="D72" s="191"/>
      <c r="E72" s="191"/>
      <c r="F72" s="191"/>
      <c r="G72" s="191"/>
      <c r="H72" s="191"/>
    </row>
    <row r="73" spans="1:8" x14ac:dyDescent="0.25">
      <c r="A73" s="189"/>
      <c r="B73" s="190"/>
      <c r="C73" s="191"/>
      <c r="D73" s="191"/>
      <c r="E73" s="191"/>
      <c r="F73" s="191"/>
      <c r="G73" s="191"/>
      <c r="H73" s="191"/>
    </row>
    <row r="74" spans="1:8" x14ac:dyDescent="0.25">
      <c r="A74" s="189"/>
      <c r="B74" s="190"/>
      <c r="C74" s="191"/>
      <c r="D74" s="191"/>
      <c r="E74" s="191"/>
      <c r="F74" s="191"/>
      <c r="G74" s="191"/>
      <c r="H74" s="191"/>
    </row>
    <row r="75" spans="1:8" x14ac:dyDescent="0.25">
      <c r="A75" s="189"/>
      <c r="B75" s="190"/>
      <c r="C75" s="191"/>
      <c r="D75" s="191"/>
      <c r="E75" s="191"/>
      <c r="F75" s="191"/>
      <c r="G75" s="191"/>
      <c r="H75" s="191"/>
    </row>
    <row r="76" spans="1:8" x14ac:dyDescent="0.25">
      <c r="A76" s="189"/>
      <c r="B76" s="190"/>
      <c r="C76" s="191"/>
      <c r="D76" s="191"/>
      <c r="E76" s="191"/>
      <c r="F76" s="191"/>
      <c r="G76" s="191"/>
      <c r="H76" s="191"/>
    </row>
    <row r="77" spans="1:8" x14ac:dyDescent="0.25">
      <c r="A77" s="189"/>
      <c r="B77" s="190"/>
      <c r="C77" s="191"/>
      <c r="D77" s="191"/>
      <c r="E77" s="191"/>
      <c r="F77" s="191"/>
      <c r="G77" s="191"/>
      <c r="H77" s="191"/>
    </row>
  </sheetData>
  <autoFilter ref="A4:T35"/>
  <mergeCells count="45">
    <mergeCell ref="I1:J1"/>
    <mergeCell ref="R1:S1"/>
    <mergeCell ref="A2:S2"/>
    <mergeCell ref="A3:A4"/>
    <mergeCell ref="B3:B4"/>
    <mergeCell ref="C3:C4"/>
    <mergeCell ref="D3:G3"/>
    <mergeCell ref="I3:R3"/>
    <mergeCell ref="S3:S4"/>
    <mergeCell ref="A5:S5"/>
    <mergeCell ref="A7:S7"/>
    <mergeCell ref="A8:A10"/>
    <mergeCell ref="B8:B10"/>
    <mergeCell ref="C8:C10"/>
    <mergeCell ref="S9:S10"/>
    <mergeCell ref="A12:A13"/>
    <mergeCell ref="B12:B13"/>
    <mergeCell ref="C12:C13"/>
    <mergeCell ref="S12:S13"/>
    <mergeCell ref="A14:A18"/>
    <mergeCell ref="B14:B15"/>
    <mergeCell ref="C14:C18"/>
    <mergeCell ref="S14:S18"/>
    <mergeCell ref="B16:B17"/>
    <mergeCell ref="A23:B23"/>
    <mergeCell ref="A24:S24"/>
    <mergeCell ref="A25:A26"/>
    <mergeCell ref="B25:B26"/>
    <mergeCell ref="C25:C26"/>
    <mergeCell ref="S25:S26"/>
    <mergeCell ref="A27:A28"/>
    <mergeCell ref="B27:B28"/>
    <mergeCell ref="C27:C28"/>
    <mergeCell ref="S27:S28"/>
    <mergeCell ref="A29:A33"/>
    <mergeCell ref="B29:B33"/>
    <mergeCell ref="C29:C33"/>
    <mergeCell ref="S29:S33"/>
    <mergeCell ref="A40:C40"/>
    <mergeCell ref="A34:B34"/>
    <mergeCell ref="A35:B35"/>
    <mergeCell ref="A36:B36"/>
    <mergeCell ref="A37:B37"/>
    <mergeCell ref="A38:B38"/>
    <mergeCell ref="A39:B39"/>
  </mergeCells>
  <pageMargins left="0.51181102362204722" right="0.39370078740157483" top="0.55118110236220474" bottom="0.35433070866141736" header="0.31496062992125984" footer="0.31496062992125984"/>
  <pageSetup paperSize="9" scale="46" fitToHeight="8" orientation="landscape" r:id="rId1"/>
  <headerFooter differentFirst="1">
    <oddHeader>&amp;C&amp;P</oddHeader>
  </headerFooter>
  <rowBreaks count="2" manualBreakCount="2">
    <brk id="8" max="11" man="1"/>
    <brk id="19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37"/>
  <sheetViews>
    <sheetView view="pageBreakPreview" zoomScaleNormal="100" zoomScaleSheetLayoutView="100" workbookViewId="0">
      <pane xSplit="2" ySplit="6" topLeftCell="E13" activePane="bottomRight" state="frozen"/>
      <selection activeCell="Q12" sqref="Q12"/>
      <selection pane="topRight" activeCell="Q12" sqref="Q12"/>
      <selection pane="bottomLeft" activeCell="Q12" sqref="Q12"/>
      <selection pane="bottomRight" activeCell="N8" sqref="N8:N25"/>
    </sheetView>
  </sheetViews>
  <sheetFormatPr defaultRowHeight="15.75" x14ac:dyDescent="0.25"/>
  <cols>
    <col min="1" max="1" width="7.5703125" style="128" customWidth="1"/>
    <col min="2" max="2" width="79.140625" style="36" customWidth="1"/>
    <col min="3" max="3" width="12" style="36" customWidth="1"/>
    <col min="4" max="4" width="24.42578125" style="36" customWidth="1"/>
    <col min="5" max="11" width="10.7109375" style="36" customWidth="1"/>
    <col min="12" max="12" width="10.7109375" style="78" customWidth="1"/>
    <col min="13" max="13" width="9.140625" style="327"/>
    <col min="14" max="16384" width="9.140625" style="36"/>
  </cols>
  <sheetData>
    <row r="1" spans="1:14" ht="50.25" customHeight="1" x14ac:dyDescent="0.25">
      <c r="A1" s="75"/>
      <c r="B1" s="76"/>
      <c r="C1" s="77"/>
      <c r="D1" s="76"/>
      <c r="E1" s="411" t="s">
        <v>550</v>
      </c>
      <c r="F1" s="411"/>
      <c r="G1" s="411"/>
      <c r="H1" s="411"/>
      <c r="I1" s="411"/>
      <c r="J1" s="411"/>
      <c r="K1" s="411"/>
    </row>
    <row r="2" spans="1:14" ht="37.5" customHeight="1" x14ac:dyDescent="0.25">
      <c r="A2" s="430" t="s">
        <v>246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</row>
    <row r="3" spans="1:14" ht="25.5" customHeight="1" x14ac:dyDescent="0.25">
      <c r="A3" s="413" t="s">
        <v>90</v>
      </c>
      <c r="B3" s="406" t="s">
        <v>247</v>
      </c>
      <c r="C3" s="406" t="s">
        <v>92</v>
      </c>
      <c r="D3" s="406" t="s">
        <v>94</v>
      </c>
      <c r="E3" s="359" t="s">
        <v>41</v>
      </c>
      <c r="F3" s="359" t="s">
        <v>42</v>
      </c>
      <c r="G3" s="359" t="s">
        <v>43</v>
      </c>
      <c r="H3" s="359" t="s">
        <v>44</v>
      </c>
      <c r="I3" s="359" t="s">
        <v>45</v>
      </c>
      <c r="J3" s="359" t="s">
        <v>46</v>
      </c>
      <c r="K3" s="359" t="s">
        <v>47</v>
      </c>
      <c r="L3" s="359" t="s">
        <v>48</v>
      </c>
      <c r="M3" s="359" t="s">
        <v>49</v>
      </c>
      <c r="N3" s="359" t="s">
        <v>50</v>
      </c>
    </row>
    <row r="4" spans="1:14" ht="12" customHeight="1" x14ac:dyDescent="0.25">
      <c r="A4" s="413"/>
      <c r="B4" s="406"/>
      <c r="C4" s="406"/>
      <c r="D4" s="406"/>
      <c r="E4" s="359"/>
      <c r="F4" s="359"/>
      <c r="G4" s="359"/>
      <c r="H4" s="359"/>
      <c r="I4" s="359"/>
      <c r="J4" s="359"/>
      <c r="K4" s="359"/>
      <c r="L4" s="359"/>
      <c r="M4" s="359"/>
      <c r="N4" s="359"/>
    </row>
    <row r="5" spans="1:14" ht="25.5" customHeight="1" x14ac:dyDescent="0.25">
      <c r="A5" s="413"/>
      <c r="B5" s="406"/>
      <c r="C5" s="406"/>
      <c r="D5" s="406"/>
      <c r="E5" s="359"/>
      <c r="F5" s="359"/>
      <c r="G5" s="359"/>
      <c r="H5" s="359"/>
      <c r="I5" s="359"/>
      <c r="J5" s="359"/>
      <c r="K5" s="359"/>
      <c r="L5" s="359"/>
      <c r="M5" s="359"/>
      <c r="N5" s="359"/>
    </row>
    <row r="6" spans="1:14" ht="27" customHeight="1" x14ac:dyDescent="0.25">
      <c r="A6" s="557" t="s">
        <v>551</v>
      </c>
      <c r="B6" s="557"/>
      <c r="C6" s="557"/>
      <c r="D6" s="557"/>
      <c r="E6" s="557"/>
      <c r="F6" s="557"/>
      <c r="G6" s="557"/>
      <c r="H6" s="557"/>
      <c r="I6" s="557"/>
      <c r="J6" s="557"/>
      <c r="K6" s="557"/>
      <c r="L6" s="328"/>
    </row>
    <row r="7" spans="1:14" ht="33" customHeight="1" x14ac:dyDescent="0.25">
      <c r="A7" s="472" t="s">
        <v>552</v>
      </c>
      <c r="B7" s="472"/>
      <c r="C7" s="472"/>
      <c r="D7" s="472"/>
      <c r="E7" s="472"/>
      <c r="F7" s="472"/>
      <c r="G7" s="472"/>
      <c r="H7" s="472"/>
      <c r="I7" s="472"/>
      <c r="J7" s="472"/>
      <c r="K7" s="472"/>
      <c r="L7" s="328"/>
    </row>
    <row r="8" spans="1:14" ht="42" customHeight="1" x14ac:dyDescent="0.25">
      <c r="A8" s="81" t="s">
        <v>553</v>
      </c>
      <c r="B8" s="83" t="s">
        <v>183</v>
      </c>
      <c r="C8" s="81" t="s">
        <v>184</v>
      </c>
      <c r="D8" s="81" t="s">
        <v>21</v>
      </c>
      <c r="E8" s="6">
        <v>1460</v>
      </c>
      <c r="F8" s="329">
        <v>1470</v>
      </c>
      <c r="G8" s="81">
        <v>1470</v>
      </c>
      <c r="H8" s="81">
        <v>2863</v>
      </c>
      <c r="I8" s="81">
        <v>3174</v>
      </c>
      <c r="J8" s="81">
        <v>3205</v>
      </c>
      <c r="K8" s="81">
        <v>3205</v>
      </c>
      <c r="L8" s="81">
        <v>3205</v>
      </c>
      <c r="M8" s="81">
        <v>3205</v>
      </c>
      <c r="N8" s="108">
        <f>M8</f>
        <v>3205</v>
      </c>
    </row>
    <row r="9" spans="1:14" ht="31.5" x14ac:dyDescent="0.25">
      <c r="A9" s="81" t="s">
        <v>185</v>
      </c>
      <c r="B9" s="83" t="s">
        <v>186</v>
      </c>
      <c r="C9" s="81" t="s">
        <v>184</v>
      </c>
      <c r="D9" s="81" t="s">
        <v>21</v>
      </c>
      <c r="E9" s="6">
        <v>28870</v>
      </c>
      <c r="F9" s="329">
        <v>29600</v>
      </c>
      <c r="G9" s="81">
        <v>30690</v>
      </c>
      <c r="H9" s="81">
        <v>32180</v>
      </c>
      <c r="I9" s="81">
        <v>33390</v>
      </c>
      <c r="J9" s="81">
        <v>33390</v>
      </c>
      <c r="K9" s="81">
        <v>33390</v>
      </c>
      <c r="L9" s="81">
        <v>33390</v>
      </c>
      <c r="M9" s="81">
        <v>33390</v>
      </c>
      <c r="N9" s="108">
        <f t="shared" ref="N9:N25" si="0">M9</f>
        <v>33390</v>
      </c>
    </row>
    <row r="10" spans="1:14" ht="63" x14ac:dyDescent="0.25">
      <c r="A10" s="81" t="s">
        <v>187</v>
      </c>
      <c r="B10" s="83" t="s">
        <v>188</v>
      </c>
      <c r="C10" s="81" t="s">
        <v>184</v>
      </c>
      <c r="D10" s="81" t="s">
        <v>21</v>
      </c>
      <c r="E10" s="6">
        <v>17972</v>
      </c>
      <c r="F10" s="329">
        <v>18638</v>
      </c>
      <c r="G10" s="81">
        <v>19328</v>
      </c>
      <c r="H10" s="81">
        <v>21911</v>
      </c>
      <c r="I10" s="81">
        <v>24405</v>
      </c>
      <c r="J10" s="81">
        <v>24405</v>
      </c>
      <c r="K10" s="81">
        <v>24405</v>
      </c>
      <c r="L10" s="81">
        <v>24405</v>
      </c>
      <c r="M10" s="81">
        <v>24405</v>
      </c>
      <c r="N10" s="108">
        <f t="shared" si="0"/>
        <v>24405</v>
      </c>
    </row>
    <row r="11" spans="1:14" ht="31.5" x14ac:dyDescent="0.25">
      <c r="A11" s="81" t="s">
        <v>189</v>
      </c>
      <c r="B11" s="83" t="s">
        <v>190</v>
      </c>
      <c r="C11" s="81" t="s">
        <v>191</v>
      </c>
      <c r="D11" s="81" t="s">
        <v>103</v>
      </c>
      <c r="E11" s="6">
        <v>25.02</v>
      </c>
      <c r="F11" s="5">
        <v>25</v>
      </c>
      <c r="G11" s="81">
        <v>25</v>
      </c>
      <c r="H11" s="81">
        <v>23.9</v>
      </c>
      <c r="I11" s="81">
        <v>24</v>
      </c>
      <c r="J11" s="81">
        <v>24</v>
      </c>
      <c r="K11" s="81">
        <v>24</v>
      </c>
      <c r="L11" s="81">
        <v>24</v>
      </c>
      <c r="M11" s="81">
        <v>24</v>
      </c>
      <c r="N11" s="108">
        <f t="shared" si="0"/>
        <v>24</v>
      </c>
    </row>
    <row r="12" spans="1:14" ht="31.5" x14ac:dyDescent="0.25">
      <c r="A12" s="81" t="s">
        <v>192</v>
      </c>
      <c r="B12" s="83" t="s">
        <v>193</v>
      </c>
      <c r="C12" s="81" t="s">
        <v>191</v>
      </c>
      <c r="D12" s="81" t="s">
        <v>103</v>
      </c>
      <c r="E12" s="6">
        <v>18.82</v>
      </c>
      <c r="F12" s="5">
        <v>18.82</v>
      </c>
      <c r="G12" s="81">
        <v>18.8</v>
      </c>
      <c r="H12" s="81">
        <v>17</v>
      </c>
      <c r="I12" s="81">
        <v>17</v>
      </c>
      <c r="J12" s="81">
        <v>17</v>
      </c>
      <c r="K12" s="81">
        <v>17</v>
      </c>
      <c r="L12" s="81">
        <v>17</v>
      </c>
      <c r="M12" s="81">
        <v>17</v>
      </c>
      <c r="N12" s="108">
        <f t="shared" si="0"/>
        <v>17</v>
      </c>
    </row>
    <row r="13" spans="1:14" ht="78.75" x14ac:dyDescent="0.25">
      <c r="A13" s="81" t="s">
        <v>194</v>
      </c>
      <c r="B13" s="83" t="s">
        <v>195</v>
      </c>
      <c r="C13" s="81" t="s">
        <v>196</v>
      </c>
      <c r="D13" s="81" t="s">
        <v>103</v>
      </c>
      <c r="E13" s="6">
        <v>0.7</v>
      </c>
      <c r="F13" s="5">
        <v>0.7</v>
      </c>
      <c r="G13" s="81">
        <v>0.7</v>
      </c>
      <c r="H13" s="81">
        <v>0.7</v>
      </c>
      <c r="I13" s="81">
        <v>0.7</v>
      </c>
      <c r="J13" s="81">
        <v>0.7</v>
      </c>
      <c r="K13" s="81">
        <v>0.7</v>
      </c>
      <c r="L13" s="81">
        <v>0.7</v>
      </c>
      <c r="M13" s="81">
        <v>0.7</v>
      </c>
      <c r="N13" s="108">
        <f t="shared" si="0"/>
        <v>0.7</v>
      </c>
    </row>
    <row r="14" spans="1:14" ht="31.5" x14ac:dyDescent="0.25">
      <c r="A14" s="81" t="s">
        <v>197</v>
      </c>
      <c r="B14" s="83" t="s">
        <v>198</v>
      </c>
      <c r="C14" s="81" t="s">
        <v>133</v>
      </c>
      <c r="D14" s="81" t="s">
        <v>21</v>
      </c>
      <c r="E14" s="81">
        <v>18</v>
      </c>
      <c r="F14" s="81">
        <v>18</v>
      </c>
      <c r="G14" s="81">
        <v>18</v>
      </c>
      <c r="H14" s="81">
        <v>14</v>
      </c>
      <c r="I14" s="81">
        <v>14</v>
      </c>
      <c r="J14" s="81">
        <v>14</v>
      </c>
      <c r="K14" s="81">
        <v>14</v>
      </c>
      <c r="L14" s="81">
        <v>14</v>
      </c>
      <c r="M14" s="81">
        <v>14</v>
      </c>
      <c r="N14" s="108">
        <f t="shared" si="0"/>
        <v>14</v>
      </c>
    </row>
    <row r="15" spans="1:14" ht="68.25" customHeight="1" x14ac:dyDescent="0.25">
      <c r="A15" s="81" t="s">
        <v>199</v>
      </c>
      <c r="B15" s="83" t="s">
        <v>200</v>
      </c>
      <c r="C15" s="81" t="s">
        <v>201</v>
      </c>
      <c r="D15" s="81" t="s">
        <v>202</v>
      </c>
      <c r="E15" s="81">
        <v>5</v>
      </c>
      <c r="F15" s="81">
        <v>5</v>
      </c>
      <c r="G15" s="81">
        <v>5</v>
      </c>
      <c r="H15" s="81">
        <v>5</v>
      </c>
      <c r="I15" s="81">
        <v>5</v>
      </c>
      <c r="J15" s="81">
        <v>5</v>
      </c>
      <c r="K15" s="81">
        <v>5</v>
      </c>
      <c r="L15" s="81">
        <v>5</v>
      </c>
      <c r="M15" s="81">
        <v>5</v>
      </c>
      <c r="N15" s="108">
        <f t="shared" si="0"/>
        <v>5</v>
      </c>
    </row>
    <row r="16" spans="1:14" ht="72.75" customHeight="1" x14ac:dyDescent="0.25">
      <c r="A16" s="23" t="s">
        <v>203</v>
      </c>
      <c r="B16" s="330" t="s">
        <v>204</v>
      </c>
      <c r="C16" s="81" t="s">
        <v>201</v>
      </c>
      <c r="D16" s="81" t="s">
        <v>202</v>
      </c>
      <c r="E16" s="22">
        <v>5</v>
      </c>
      <c r="F16" s="22">
        <v>5</v>
      </c>
      <c r="G16" s="22">
        <v>5</v>
      </c>
      <c r="H16" s="22">
        <v>5</v>
      </c>
      <c r="I16" s="22">
        <v>5</v>
      </c>
      <c r="J16" s="22">
        <v>5</v>
      </c>
      <c r="K16" s="22">
        <v>5</v>
      </c>
      <c r="L16" s="22">
        <v>5</v>
      </c>
      <c r="M16" s="22">
        <v>5</v>
      </c>
      <c r="N16" s="108">
        <f t="shared" si="0"/>
        <v>5</v>
      </c>
    </row>
    <row r="17" spans="1:14" ht="157.5" x14ac:dyDescent="0.25">
      <c r="A17" s="23" t="s">
        <v>205</v>
      </c>
      <c r="B17" s="122" t="s">
        <v>554</v>
      </c>
      <c r="C17" s="81" t="s">
        <v>201</v>
      </c>
      <c r="D17" s="81" t="s">
        <v>202</v>
      </c>
      <c r="E17" s="22">
        <v>5</v>
      </c>
      <c r="F17" s="22">
        <v>5</v>
      </c>
      <c r="G17" s="22">
        <v>5</v>
      </c>
      <c r="H17" s="22">
        <v>5</v>
      </c>
      <c r="I17" s="22">
        <v>5</v>
      </c>
      <c r="J17" s="22">
        <v>5</v>
      </c>
      <c r="K17" s="22">
        <v>5</v>
      </c>
      <c r="L17" s="22">
        <v>5</v>
      </c>
      <c r="M17" s="22">
        <v>5</v>
      </c>
      <c r="N17" s="108">
        <f t="shared" si="0"/>
        <v>5</v>
      </c>
    </row>
    <row r="18" spans="1:14" ht="94.5" x14ac:dyDescent="0.25">
      <c r="A18" s="23" t="s">
        <v>555</v>
      </c>
      <c r="B18" s="122" t="s">
        <v>208</v>
      </c>
      <c r="C18" s="81" t="s">
        <v>201</v>
      </c>
      <c r="D18" s="81" t="s">
        <v>202</v>
      </c>
      <c r="E18" s="22">
        <v>5</v>
      </c>
      <c r="F18" s="22">
        <v>5</v>
      </c>
      <c r="G18" s="22">
        <v>5</v>
      </c>
      <c r="H18" s="22">
        <v>5</v>
      </c>
      <c r="I18" s="22">
        <v>5</v>
      </c>
      <c r="J18" s="22">
        <v>5</v>
      </c>
      <c r="K18" s="22">
        <v>5</v>
      </c>
      <c r="L18" s="22">
        <v>5</v>
      </c>
      <c r="M18" s="22">
        <v>5</v>
      </c>
      <c r="N18" s="108">
        <f t="shared" si="0"/>
        <v>5</v>
      </c>
    </row>
    <row r="19" spans="1:14" ht="63" x14ac:dyDescent="0.25">
      <c r="A19" s="23" t="s">
        <v>209</v>
      </c>
      <c r="B19" s="122" t="s">
        <v>210</v>
      </c>
      <c r="C19" s="81" t="s">
        <v>201</v>
      </c>
      <c r="D19" s="81" t="s">
        <v>556</v>
      </c>
      <c r="E19" s="22">
        <v>5</v>
      </c>
      <c r="F19" s="22">
        <v>5</v>
      </c>
      <c r="G19" s="22">
        <v>5</v>
      </c>
      <c r="H19" s="22">
        <v>5</v>
      </c>
      <c r="I19" s="22">
        <v>5</v>
      </c>
      <c r="J19" s="22">
        <v>5</v>
      </c>
      <c r="K19" s="22">
        <v>5</v>
      </c>
      <c r="L19" s="22">
        <v>5</v>
      </c>
      <c r="M19" s="22">
        <v>5</v>
      </c>
      <c r="N19" s="108">
        <f t="shared" si="0"/>
        <v>5</v>
      </c>
    </row>
    <row r="20" spans="1:14" ht="63" x14ac:dyDescent="0.25">
      <c r="A20" s="23" t="s">
        <v>211</v>
      </c>
      <c r="B20" s="122" t="s">
        <v>557</v>
      </c>
      <c r="C20" s="81" t="s">
        <v>201</v>
      </c>
      <c r="D20" s="81" t="s">
        <v>556</v>
      </c>
      <c r="E20" s="22">
        <v>5</v>
      </c>
      <c r="F20" s="22">
        <v>5</v>
      </c>
      <c r="G20" s="22">
        <v>5</v>
      </c>
      <c r="H20" s="22">
        <v>5</v>
      </c>
      <c r="I20" s="22">
        <v>5</v>
      </c>
      <c r="J20" s="22">
        <v>5</v>
      </c>
      <c r="K20" s="22">
        <v>5</v>
      </c>
      <c r="L20" s="22">
        <v>5</v>
      </c>
      <c r="M20" s="22">
        <v>5</v>
      </c>
      <c r="N20" s="108">
        <f t="shared" si="0"/>
        <v>5</v>
      </c>
    </row>
    <row r="21" spans="1:14" ht="63" x14ac:dyDescent="0.25">
      <c r="A21" s="23" t="s">
        <v>213</v>
      </c>
      <c r="B21" s="122" t="s">
        <v>214</v>
      </c>
      <c r="C21" s="81" t="s">
        <v>201</v>
      </c>
      <c r="D21" s="81" t="s">
        <v>202</v>
      </c>
      <c r="E21" s="22">
        <v>5</v>
      </c>
      <c r="F21" s="22">
        <v>5</v>
      </c>
      <c r="G21" s="22">
        <v>5</v>
      </c>
      <c r="H21" s="22">
        <v>5</v>
      </c>
      <c r="I21" s="22">
        <v>5</v>
      </c>
      <c r="J21" s="22">
        <v>5</v>
      </c>
      <c r="K21" s="22">
        <v>5</v>
      </c>
      <c r="L21" s="22">
        <v>5</v>
      </c>
      <c r="M21" s="22">
        <v>5</v>
      </c>
      <c r="N21" s="108">
        <f t="shared" si="0"/>
        <v>5</v>
      </c>
    </row>
    <row r="22" spans="1:14" ht="63" x14ac:dyDescent="0.25">
      <c r="A22" s="23" t="s">
        <v>558</v>
      </c>
      <c r="B22" s="330" t="s">
        <v>216</v>
      </c>
      <c r="C22" s="81" t="s">
        <v>201</v>
      </c>
      <c r="D22" s="81" t="s">
        <v>202</v>
      </c>
      <c r="E22" s="22">
        <v>5</v>
      </c>
      <c r="F22" s="22">
        <v>5</v>
      </c>
      <c r="G22" s="22">
        <v>5</v>
      </c>
      <c r="H22" s="22">
        <v>5</v>
      </c>
      <c r="I22" s="22">
        <v>5</v>
      </c>
      <c r="J22" s="22">
        <v>5</v>
      </c>
      <c r="K22" s="22">
        <v>5</v>
      </c>
      <c r="L22" s="22">
        <v>5</v>
      </c>
      <c r="M22" s="22">
        <v>5</v>
      </c>
      <c r="N22" s="108">
        <f t="shared" si="0"/>
        <v>5</v>
      </c>
    </row>
    <row r="23" spans="1:14" ht="63" x14ac:dyDescent="0.25">
      <c r="A23" s="23" t="s">
        <v>217</v>
      </c>
      <c r="B23" s="330" t="s">
        <v>218</v>
      </c>
      <c r="C23" s="81" t="s">
        <v>201</v>
      </c>
      <c r="D23" s="81" t="s">
        <v>202</v>
      </c>
      <c r="E23" s="22">
        <v>5</v>
      </c>
      <c r="F23" s="22">
        <v>5</v>
      </c>
      <c r="G23" s="22">
        <v>5</v>
      </c>
      <c r="H23" s="22">
        <v>5</v>
      </c>
      <c r="I23" s="22">
        <v>5</v>
      </c>
      <c r="J23" s="22">
        <v>5</v>
      </c>
      <c r="K23" s="22">
        <v>5</v>
      </c>
      <c r="L23" s="22">
        <v>5</v>
      </c>
      <c r="M23" s="22">
        <v>5</v>
      </c>
      <c r="N23" s="108">
        <f t="shared" si="0"/>
        <v>5</v>
      </c>
    </row>
    <row r="24" spans="1:14" ht="63" x14ac:dyDescent="0.25">
      <c r="A24" s="23" t="s">
        <v>219</v>
      </c>
      <c r="B24" s="330" t="s">
        <v>220</v>
      </c>
      <c r="C24" s="81" t="s">
        <v>201</v>
      </c>
      <c r="D24" s="81" t="s">
        <v>202</v>
      </c>
      <c r="E24" s="22">
        <v>5</v>
      </c>
      <c r="F24" s="22">
        <v>5</v>
      </c>
      <c r="G24" s="22">
        <v>5</v>
      </c>
      <c r="H24" s="22">
        <v>5</v>
      </c>
      <c r="I24" s="22">
        <v>5</v>
      </c>
      <c r="J24" s="22">
        <v>5</v>
      </c>
      <c r="K24" s="22">
        <v>5</v>
      </c>
      <c r="L24" s="22">
        <v>5</v>
      </c>
      <c r="M24" s="22">
        <v>5</v>
      </c>
      <c r="N24" s="108">
        <f t="shared" si="0"/>
        <v>5</v>
      </c>
    </row>
    <row r="25" spans="1:14" ht="63" x14ac:dyDescent="0.25">
      <c r="A25" s="23" t="s">
        <v>221</v>
      </c>
      <c r="B25" s="330" t="s">
        <v>222</v>
      </c>
      <c r="C25" s="81" t="s">
        <v>201</v>
      </c>
      <c r="D25" s="81" t="s">
        <v>202</v>
      </c>
      <c r="E25" s="22">
        <v>5</v>
      </c>
      <c r="F25" s="22">
        <v>5</v>
      </c>
      <c r="G25" s="22">
        <v>5</v>
      </c>
      <c r="H25" s="22">
        <v>5</v>
      </c>
      <c r="I25" s="22">
        <v>5</v>
      </c>
      <c r="J25" s="22">
        <v>5</v>
      </c>
      <c r="K25" s="22">
        <v>5</v>
      </c>
      <c r="L25" s="22">
        <v>5</v>
      </c>
      <c r="M25" s="22">
        <v>5</v>
      </c>
      <c r="N25" s="108">
        <f t="shared" si="0"/>
        <v>5</v>
      </c>
    </row>
    <row r="26" spans="1:14" ht="32.25" customHeight="1" x14ac:dyDescent="0.25">
      <c r="A26" s="472" t="s">
        <v>559</v>
      </c>
      <c r="B26" s="472"/>
      <c r="C26" s="472"/>
      <c r="D26" s="472"/>
      <c r="E26" s="472"/>
      <c r="F26" s="472"/>
      <c r="G26" s="472"/>
      <c r="H26" s="472"/>
      <c r="I26" s="472"/>
      <c r="J26" s="472"/>
      <c r="K26" s="472"/>
      <c r="L26" s="331"/>
      <c r="M26" s="332"/>
      <c r="N26" s="332"/>
    </row>
    <row r="27" spans="1:14" ht="47.25" x14ac:dyDescent="0.25">
      <c r="A27" s="333" t="s">
        <v>224</v>
      </c>
      <c r="B27" s="83" t="s">
        <v>560</v>
      </c>
      <c r="C27" s="81" t="s">
        <v>98</v>
      </c>
      <c r="D27" s="81" t="s">
        <v>103</v>
      </c>
      <c r="E27" s="6">
        <v>70</v>
      </c>
      <c r="F27" s="6">
        <v>71</v>
      </c>
      <c r="G27" s="81">
        <v>71</v>
      </c>
      <c r="H27" s="81">
        <v>71</v>
      </c>
      <c r="I27" s="81">
        <v>71</v>
      </c>
      <c r="J27" s="81">
        <v>71</v>
      </c>
      <c r="K27" s="81">
        <v>71</v>
      </c>
      <c r="L27" s="81">
        <v>71</v>
      </c>
      <c r="M27" s="81">
        <v>71</v>
      </c>
      <c r="N27" s="22">
        <f>M27</f>
        <v>71</v>
      </c>
    </row>
    <row r="28" spans="1:14" ht="94.5" x14ac:dyDescent="0.25">
      <c r="A28" s="81" t="s">
        <v>226</v>
      </c>
      <c r="B28" s="83" t="s">
        <v>227</v>
      </c>
      <c r="C28" s="81" t="s">
        <v>561</v>
      </c>
      <c r="D28" s="81" t="s">
        <v>103</v>
      </c>
      <c r="E28" s="81" t="s">
        <v>229</v>
      </c>
      <c r="F28" s="81" t="s">
        <v>230</v>
      </c>
      <c r="G28" s="81" t="s">
        <v>231</v>
      </c>
      <c r="H28" s="81" t="s">
        <v>232</v>
      </c>
      <c r="I28" s="81" t="s">
        <v>233</v>
      </c>
      <c r="J28" s="81" t="s">
        <v>234</v>
      </c>
      <c r="K28" s="81" t="s">
        <v>235</v>
      </c>
      <c r="L28" s="81" t="s">
        <v>235</v>
      </c>
      <c r="M28" s="81" t="s">
        <v>235</v>
      </c>
      <c r="N28" s="22" t="str">
        <f>M28</f>
        <v>89(57)</v>
      </c>
    </row>
    <row r="29" spans="1:14" ht="45" customHeight="1" x14ac:dyDescent="0.3">
      <c r="A29" s="36"/>
      <c r="B29" s="205" t="s">
        <v>33</v>
      </c>
      <c r="C29" s="205"/>
      <c r="D29" s="205"/>
      <c r="E29" s="205"/>
      <c r="F29" s="205"/>
      <c r="G29" s="558" t="s">
        <v>255</v>
      </c>
      <c r="H29" s="558"/>
      <c r="I29" s="193"/>
      <c r="J29" s="193"/>
    </row>
    <row r="30" spans="1:14" ht="68.25" customHeight="1" x14ac:dyDescent="0.25">
      <c r="A30" s="36"/>
    </row>
    <row r="31" spans="1:14" ht="129.75" customHeight="1" x14ac:dyDescent="0.25">
      <c r="A31" s="36"/>
    </row>
    <row r="32" spans="1:14" ht="98.25" customHeight="1" x14ac:dyDescent="0.25">
      <c r="A32" s="36"/>
    </row>
    <row r="33" spans="1:1" ht="70.5" customHeight="1" x14ac:dyDescent="0.25">
      <c r="A33" s="36"/>
    </row>
    <row r="34" spans="1:1" ht="66.75" customHeight="1" x14ac:dyDescent="0.25">
      <c r="A34" s="36"/>
    </row>
    <row r="35" spans="1:1" ht="53.25" customHeight="1" x14ac:dyDescent="0.25">
      <c r="A35" s="36"/>
    </row>
    <row r="36" spans="1:1" x14ac:dyDescent="0.25">
      <c r="A36" s="36"/>
    </row>
    <row r="37" spans="1:1" x14ac:dyDescent="0.25">
      <c r="A37" s="36"/>
    </row>
  </sheetData>
  <mergeCells count="20">
    <mergeCell ref="L3:L5"/>
    <mergeCell ref="M3:M5"/>
    <mergeCell ref="N3:N5"/>
    <mergeCell ref="E1:K1"/>
    <mergeCell ref="A2:K2"/>
    <mergeCell ref="A3:A5"/>
    <mergeCell ref="B3:B5"/>
    <mergeCell ref="C3:C5"/>
    <mergeCell ref="D3:D5"/>
    <mergeCell ref="E3:E5"/>
    <mergeCell ref="F3:F5"/>
    <mergeCell ref="G3:G5"/>
    <mergeCell ref="H3:H5"/>
    <mergeCell ref="A6:K6"/>
    <mergeCell ref="A7:K7"/>
    <mergeCell ref="A26:K26"/>
    <mergeCell ref="G29:H29"/>
    <mergeCell ref="I3:I5"/>
    <mergeCell ref="J3:J5"/>
    <mergeCell ref="K3:K5"/>
  </mergeCells>
  <pageMargins left="0.31496062992125984" right="0.11811023622047245" top="0.55118110236220474" bottom="0.35433070866141736" header="0.31496062992125984" footer="0.31496062992125984"/>
  <pageSetup paperSize="9" scale="64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S95"/>
  <sheetViews>
    <sheetView view="pageBreakPreview" zoomScale="75" zoomScaleNormal="75" zoomScaleSheetLayoutView="75" workbookViewId="0">
      <selection activeCell="G17" sqref="G17"/>
    </sheetView>
  </sheetViews>
  <sheetFormatPr defaultColWidth="9.28515625" defaultRowHeight="15.75" x14ac:dyDescent="0.25"/>
  <cols>
    <col min="1" max="1" width="8.42578125" style="192" customWidth="1"/>
    <col min="2" max="2" width="42.28515625" style="36" customWidth="1"/>
    <col min="3" max="3" width="21.5703125" style="193" customWidth="1"/>
    <col min="4" max="4" width="13" style="193" customWidth="1"/>
    <col min="5" max="5" width="13.7109375" style="193" customWidth="1"/>
    <col min="6" max="6" width="17.28515625" style="193" customWidth="1"/>
    <col min="7" max="7" width="13" style="193" customWidth="1"/>
    <col min="8" max="8" width="14.7109375" style="193" customWidth="1"/>
    <col min="9" max="10" width="14.7109375" style="36" customWidth="1"/>
    <col min="11" max="11" width="14.7109375" style="98" customWidth="1"/>
    <col min="12" max="12" width="14.7109375" style="36" customWidth="1"/>
    <col min="13" max="13" width="21.7109375" style="36" customWidth="1"/>
    <col min="14" max="17" width="14.7109375" style="58" customWidth="1"/>
    <col min="18" max="18" width="14.7109375" style="36" customWidth="1"/>
    <col min="19" max="19" width="74.140625" style="36" customWidth="1"/>
    <col min="20" max="16384" width="9.28515625" style="36"/>
  </cols>
  <sheetData>
    <row r="1" spans="1:19" s="135" customFormat="1" ht="71.25" customHeight="1" x14ac:dyDescent="0.25">
      <c r="A1" s="156"/>
      <c r="B1" s="157"/>
      <c r="C1" s="158"/>
      <c r="D1" s="158"/>
      <c r="E1" s="158"/>
      <c r="F1" s="158"/>
      <c r="G1" s="158"/>
      <c r="H1" s="158"/>
      <c r="I1" s="480"/>
      <c r="J1" s="480"/>
      <c r="K1" s="334"/>
      <c r="N1" s="125"/>
      <c r="O1" s="335"/>
      <c r="P1" s="125"/>
      <c r="Q1" s="125"/>
      <c r="R1" s="568" t="s">
        <v>562</v>
      </c>
      <c r="S1" s="568"/>
    </row>
    <row r="2" spans="1:19" s="135" customFormat="1" ht="36" customHeight="1" x14ac:dyDescent="0.25">
      <c r="A2" s="482" t="s">
        <v>257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</row>
    <row r="3" spans="1:19" s="135" customFormat="1" ht="32.25" customHeight="1" x14ac:dyDescent="0.25">
      <c r="A3" s="359" t="s">
        <v>90</v>
      </c>
      <c r="B3" s="359" t="s">
        <v>258</v>
      </c>
      <c r="C3" s="359" t="s">
        <v>7</v>
      </c>
      <c r="D3" s="359" t="s">
        <v>5</v>
      </c>
      <c r="E3" s="359"/>
      <c r="F3" s="359"/>
      <c r="G3" s="359"/>
      <c r="H3" s="485" t="s">
        <v>6</v>
      </c>
      <c r="I3" s="486"/>
      <c r="J3" s="486"/>
      <c r="K3" s="486"/>
      <c r="L3" s="486"/>
      <c r="M3" s="486"/>
      <c r="N3" s="486"/>
      <c r="O3" s="486"/>
      <c r="P3" s="486"/>
      <c r="Q3" s="486"/>
      <c r="R3" s="487"/>
      <c r="S3" s="359" t="s">
        <v>563</v>
      </c>
    </row>
    <row r="4" spans="1:19" s="135" customFormat="1" ht="37.5" customHeight="1" x14ac:dyDescent="0.25">
      <c r="A4" s="359"/>
      <c r="B4" s="359"/>
      <c r="C4" s="359"/>
      <c r="D4" s="6" t="s">
        <v>7</v>
      </c>
      <c r="E4" s="6" t="s">
        <v>8</v>
      </c>
      <c r="F4" s="6" t="s">
        <v>9</v>
      </c>
      <c r="G4" s="6" t="s">
        <v>10</v>
      </c>
      <c r="H4" s="6">
        <v>2014</v>
      </c>
      <c r="I4" s="6">
        <v>2015</v>
      </c>
      <c r="J4" s="6">
        <v>2016</v>
      </c>
      <c r="K4" s="6">
        <v>2017</v>
      </c>
      <c r="L4" s="6">
        <v>2018</v>
      </c>
      <c r="M4" s="6">
        <v>2019</v>
      </c>
      <c r="N4" s="61">
        <v>2020</v>
      </c>
      <c r="O4" s="61">
        <v>2021</v>
      </c>
      <c r="P4" s="61">
        <v>2022</v>
      </c>
      <c r="Q4" s="61">
        <v>2023</v>
      </c>
      <c r="R4" s="6" t="s">
        <v>11</v>
      </c>
      <c r="S4" s="359"/>
    </row>
    <row r="5" spans="1:19" ht="27" customHeight="1" x14ac:dyDescent="0.25">
      <c r="A5" s="366" t="s">
        <v>551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</row>
    <row r="6" spans="1:19" ht="27" customHeight="1" x14ac:dyDescent="0.25">
      <c r="A6" s="565" t="s">
        <v>564</v>
      </c>
      <c r="B6" s="566"/>
      <c r="C6" s="566"/>
      <c r="D6" s="566"/>
      <c r="E6" s="566"/>
      <c r="F6" s="566"/>
      <c r="G6" s="566"/>
      <c r="H6" s="566"/>
      <c r="I6" s="566"/>
      <c r="J6" s="566"/>
      <c r="K6" s="566"/>
      <c r="L6" s="566"/>
      <c r="M6" s="566"/>
      <c r="N6" s="566"/>
      <c r="O6" s="566"/>
      <c r="P6" s="566"/>
      <c r="Q6" s="566"/>
      <c r="R6" s="566"/>
      <c r="S6" s="567"/>
    </row>
    <row r="7" spans="1:19" ht="45" customHeight="1" x14ac:dyDescent="0.25">
      <c r="A7" s="473" t="s">
        <v>182</v>
      </c>
      <c r="B7" s="354" t="s">
        <v>565</v>
      </c>
      <c r="C7" s="354" t="s">
        <v>261</v>
      </c>
      <c r="D7" s="160" t="s">
        <v>18</v>
      </c>
      <c r="E7" s="160" t="s">
        <v>437</v>
      </c>
      <c r="F7" s="160" t="s">
        <v>566</v>
      </c>
      <c r="G7" s="22">
        <v>120</v>
      </c>
      <c r="H7" s="336">
        <v>1257.5999999999999</v>
      </c>
      <c r="I7" s="336">
        <v>1420.8</v>
      </c>
      <c r="J7" s="336">
        <v>1452.9</v>
      </c>
      <c r="K7" s="336">
        <v>1366.4</v>
      </c>
      <c r="L7" s="336">
        <v>1552.5</v>
      </c>
      <c r="M7" s="336">
        <v>1792.7</v>
      </c>
      <c r="N7" s="337">
        <v>1794.9</v>
      </c>
      <c r="O7" s="337">
        <v>1794.9</v>
      </c>
      <c r="P7" s="337">
        <v>1794.9</v>
      </c>
      <c r="Q7" s="337">
        <f>P7</f>
        <v>1794.9</v>
      </c>
      <c r="R7" s="336">
        <f>SUM(H7:Q7)</f>
        <v>16022.499999999998</v>
      </c>
      <c r="S7" s="356" t="s">
        <v>567</v>
      </c>
    </row>
    <row r="8" spans="1:19" ht="45" customHeight="1" x14ac:dyDescent="0.25">
      <c r="A8" s="474"/>
      <c r="B8" s="355"/>
      <c r="C8" s="355"/>
      <c r="D8" s="22">
        <v>975</v>
      </c>
      <c r="E8" s="160" t="s">
        <v>437</v>
      </c>
      <c r="F8" s="160" t="s">
        <v>566</v>
      </c>
      <c r="G8" s="22" t="s">
        <v>568</v>
      </c>
      <c r="H8" s="336">
        <v>318.60000000000002</v>
      </c>
      <c r="I8" s="336">
        <v>600.70000000000005</v>
      </c>
      <c r="J8" s="336">
        <v>513.5</v>
      </c>
      <c r="K8" s="336">
        <f>411.1+0.5</f>
        <v>411.6</v>
      </c>
      <c r="L8" s="336">
        <v>298.89999999999998</v>
      </c>
      <c r="M8" s="336">
        <v>317.5</v>
      </c>
      <c r="N8" s="337">
        <f>299.8+0.9</f>
        <v>300.7</v>
      </c>
      <c r="O8" s="337">
        <v>176.4</v>
      </c>
      <c r="P8" s="337">
        <v>176.4</v>
      </c>
      <c r="Q8" s="337">
        <f t="shared" ref="Q8:Q46" si="0">P8</f>
        <v>176.4</v>
      </c>
      <c r="R8" s="336">
        <f t="shared" ref="R8:R46" si="1">SUM(H8:Q8)</f>
        <v>3290.7000000000003</v>
      </c>
      <c r="S8" s="357"/>
    </row>
    <row r="9" spans="1:19" ht="24.95" customHeight="1" x14ac:dyDescent="0.25">
      <c r="A9" s="474"/>
      <c r="B9" s="355"/>
      <c r="C9" s="355"/>
      <c r="D9" s="309" t="s">
        <v>18</v>
      </c>
      <c r="E9" s="160" t="s">
        <v>437</v>
      </c>
      <c r="F9" s="160" t="s">
        <v>569</v>
      </c>
      <c r="G9" s="22">
        <v>120</v>
      </c>
      <c r="H9" s="336">
        <v>330.4</v>
      </c>
      <c r="I9" s="336">
        <v>342.6</v>
      </c>
      <c r="J9" s="336">
        <v>342.6</v>
      </c>
      <c r="K9" s="336">
        <v>335.6</v>
      </c>
      <c r="L9" s="336">
        <v>343.5</v>
      </c>
      <c r="M9" s="336">
        <v>360.3</v>
      </c>
      <c r="N9" s="337">
        <v>339.4</v>
      </c>
      <c r="O9" s="337">
        <v>339.4</v>
      </c>
      <c r="P9" s="337">
        <v>339.4</v>
      </c>
      <c r="Q9" s="337">
        <f t="shared" si="0"/>
        <v>339.4</v>
      </c>
      <c r="R9" s="336">
        <f t="shared" si="1"/>
        <v>3412.6000000000004</v>
      </c>
      <c r="S9" s="338"/>
    </row>
    <row r="10" spans="1:19" ht="24.95" customHeight="1" x14ac:dyDescent="0.25">
      <c r="A10" s="474"/>
      <c r="B10" s="355"/>
      <c r="C10" s="355"/>
      <c r="D10" s="309" t="s">
        <v>18</v>
      </c>
      <c r="E10" s="160" t="s">
        <v>437</v>
      </c>
      <c r="F10" s="160" t="s">
        <v>570</v>
      </c>
      <c r="G10" s="22">
        <v>120</v>
      </c>
      <c r="H10" s="336"/>
      <c r="I10" s="336"/>
      <c r="J10" s="336"/>
      <c r="K10" s="336"/>
      <c r="L10" s="336"/>
      <c r="M10" s="336"/>
      <c r="N10" s="337">
        <v>21.7</v>
      </c>
      <c r="O10" s="337"/>
      <c r="P10" s="337"/>
      <c r="Q10" s="337">
        <f t="shared" si="0"/>
        <v>0</v>
      </c>
      <c r="R10" s="336">
        <f t="shared" si="1"/>
        <v>21.7</v>
      </c>
      <c r="S10" s="338"/>
    </row>
    <row r="11" spans="1:19" ht="24.95" customHeight="1" x14ac:dyDescent="0.25">
      <c r="A11" s="474"/>
      <c r="B11" s="355"/>
      <c r="C11" s="355"/>
      <c r="D11" s="309" t="s">
        <v>18</v>
      </c>
      <c r="E11" s="160" t="s">
        <v>437</v>
      </c>
      <c r="F11" s="160" t="s">
        <v>571</v>
      </c>
      <c r="G11" s="22">
        <v>120</v>
      </c>
      <c r="H11" s="336"/>
      <c r="I11" s="336"/>
      <c r="J11" s="336"/>
      <c r="K11" s="336"/>
      <c r="L11" s="336"/>
      <c r="M11" s="336"/>
      <c r="N11" s="337">
        <v>228.4</v>
      </c>
      <c r="O11" s="337"/>
      <c r="P11" s="337"/>
      <c r="Q11" s="337">
        <f t="shared" si="0"/>
        <v>0</v>
      </c>
      <c r="R11" s="336">
        <f t="shared" si="1"/>
        <v>228.4</v>
      </c>
      <c r="S11" s="338"/>
    </row>
    <row r="12" spans="1:19" ht="24.95" customHeight="1" x14ac:dyDescent="0.25">
      <c r="A12" s="474"/>
      <c r="B12" s="355"/>
      <c r="C12" s="355"/>
      <c r="D12" s="309" t="s">
        <v>18</v>
      </c>
      <c r="E12" s="160" t="s">
        <v>437</v>
      </c>
      <c r="F12" s="160" t="s">
        <v>572</v>
      </c>
      <c r="G12" s="22">
        <v>120</v>
      </c>
      <c r="H12" s="336"/>
      <c r="I12" s="336"/>
      <c r="J12" s="336"/>
      <c r="K12" s="336"/>
      <c r="L12" s="336"/>
      <c r="M12" s="336">
        <v>36.4</v>
      </c>
      <c r="N12" s="337"/>
      <c r="O12" s="337"/>
      <c r="P12" s="337">
        <f t="shared" ref="P12:P45" si="2">O12</f>
        <v>0</v>
      </c>
      <c r="Q12" s="337">
        <f t="shared" si="0"/>
        <v>0</v>
      </c>
      <c r="R12" s="336">
        <f t="shared" si="1"/>
        <v>36.4</v>
      </c>
      <c r="S12" s="338"/>
    </row>
    <row r="13" spans="1:19" ht="24.95" customHeight="1" x14ac:dyDescent="0.25">
      <c r="A13" s="474"/>
      <c r="B13" s="355"/>
      <c r="C13" s="355"/>
      <c r="D13" s="309" t="s">
        <v>18</v>
      </c>
      <c r="E13" s="160" t="s">
        <v>437</v>
      </c>
      <c r="F13" s="160" t="s">
        <v>573</v>
      </c>
      <c r="G13" s="22">
        <v>120</v>
      </c>
      <c r="H13" s="336"/>
      <c r="I13" s="336"/>
      <c r="J13" s="336"/>
      <c r="K13" s="336"/>
      <c r="L13" s="336">
        <v>96.2</v>
      </c>
      <c r="M13" s="336"/>
      <c r="N13" s="337"/>
      <c r="O13" s="337"/>
      <c r="P13" s="337">
        <f t="shared" si="2"/>
        <v>0</v>
      </c>
      <c r="Q13" s="337">
        <f t="shared" si="0"/>
        <v>0</v>
      </c>
      <c r="R13" s="336">
        <f t="shared" si="1"/>
        <v>96.2</v>
      </c>
      <c r="S13" s="338"/>
    </row>
    <row r="14" spans="1:19" ht="41.45" customHeight="1" x14ac:dyDescent="0.25">
      <c r="A14" s="474"/>
      <c r="B14" s="355"/>
      <c r="C14" s="355"/>
      <c r="D14" s="22">
        <v>975</v>
      </c>
      <c r="E14" s="160" t="s">
        <v>437</v>
      </c>
      <c r="F14" s="160" t="s">
        <v>574</v>
      </c>
      <c r="G14" s="22">
        <v>120</v>
      </c>
      <c r="H14" s="336"/>
      <c r="I14" s="336"/>
      <c r="J14" s="336"/>
      <c r="K14" s="336"/>
      <c r="L14" s="336">
        <v>12.8</v>
      </c>
      <c r="M14" s="336">
        <v>3.8</v>
      </c>
      <c r="N14" s="337"/>
      <c r="O14" s="337"/>
      <c r="P14" s="337">
        <f t="shared" si="2"/>
        <v>0</v>
      </c>
      <c r="Q14" s="337">
        <f t="shared" si="0"/>
        <v>0</v>
      </c>
      <c r="R14" s="336">
        <f t="shared" si="1"/>
        <v>16.600000000000001</v>
      </c>
      <c r="S14" s="338"/>
    </row>
    <row r="15" spans="1:19" ht="46.9" customHeight="1" x14ac:dyDescent="0.25">
      <c r="A15" s="475"/>
      <c r="B15" s="373"/>
      <c r="C15" s="373"/>
      <c r="D15" s="22">
        <v>975</v>
      </c>
      <c r="E15" s="160" t="s">
        <v>437</v>
      </c>
      <c r="F15" s="160" t="s">
        <v>575</v>
      </c>
      <c r="G15" s="22">
        <v>120</v>
      </c>
      <c r="H15" s="336"/>
      <c r="I15" s="336"/>
      <c r="J15" s="336"/>
      <c r="K15" s="336"/>
      <c r="L15" s="336">
        <v>55.9</v>
      </c>
      <c r="M15" s="336">
        <v>18.100000000000001</v>
      </c>
      <c r="N15" s="337"/>
      <c r="O15" s="337"/>
      <c r="P15" s="337">
        <f t="shared" si="2"/>
        <v>0</v>
      </c>
      <c r="Q15" s="337">
        <f t="shared" si="0"/>
        <v>0</v>
      </c>
      <c r="R15" s="336">
        <f t="shared" si="1"/>
        <v>74</v>
      </c>
      <c r="S15" s="338"/>
    </row>
    <row r="16" spans="1:19" ht="45" customHeight="1" x14ac:dyDescent="0.25">
      <c r="A16" s="305" t="s">
        <v>576</v>
      </c>
      <c r="B16" s="308" t="s">
        <v>577</v>
      </c>
      <c r="C16" s="20" t="s">
        <v>578</v>
      </c>
      <c r="D16" s="160" t="s">
        <v>18</v>
      </c>
      <c r="E16" s="160" t="s">
        <v>437</v>
      </c>
      <c r="F16" s="160" t="s">
        <v>579</v>
      </c>
      <c r="G16" s="22">
        <v>110</v>
      </c>
      <c r="H16" s="336">
        <v>623.6</v>
      </c>
      <c r="I16" s="336">
        <v>623.6</v>
      </c>
      <c r="J16" s="336">
        <v>623.6</v>
      </c>
      <c r="K16" s="336">
        <v>610</v>
      </c>
      <c r="L16" s="336">
        <f>623.6</f>
        <v>623.6</v>
      </c>
      <c r="M16" s="336">
        <v>623.6</v>
      </c>
      <c r="N16" s="337">
        <v>623.6</v>
      </c>
      <c r="O16" s="337">
        <v>623.6</v>
      </c>
      <c r="P16" s="337">
        <f t="shared" si="2"/>
        <v>623.6</v>
      </c>
      <c r="Q16" s="337">
        <f t="shared" si="0"/>
        <v>623.6</v>
      </c>
      <c r="R16" s="336">
        <f t="shared" si="1"/>
        <v>6222.4000000000015</v>
      </c>
      <c r="S16" s="173" t="s">
        <v>580</v>
      </c>
    </row>
    <row r="17" spans="1:19" ht="24.95" customHeight="1" x14ac:dyDescent="0.25">
      <c r="A17" s="446" t="s">
        <v>581</v>
      </c>
      <c r="B17" s="359" t="s">
        <v>582</v>
      </c>
      <c r="C17" s="359" t="s">
        <v>583</v>
      </c>
      <c r="D17" s="160" t="s">
        <v>22</v>
      </c>
      <c r="E17" s="160" t="s">
        <v>437</v>
      </c>
      <c r="F17" s="160" t="s">
        <v>584</v>
      </c>
      <c r="G17" s="22">
        <v>110</v>
      </c>
      <c r="H17" s="339"/>
      <c r="I17" s="339"/>
      <c r="J17" s="339"/>
      <c r="K17" s="339"/>
      <c r="L17" s="339">
        <v>564.29999999999995</v>
      </c>
      <c r="M17" s="339"/>
      <c r="N17" s="340"/>
      <c r="O17" s="340"/>
      <c r="P17" s="337">
        <f t="shared" si="2"/>
        <v>0</v>
      </c>
      <c r="Q17" s="337">
        <f t="shared" si="0"/>
        <v>0</v>
      </c>
      <c r="R17" s="336">
        <f t="shared" si="1"/>
        <v>564.29999999999995</v>
      </c>
      <c r="S17" s="366" t="s">
        <v>585</v>
      </c>
    </row>
    <row r="18" spans="1:19" ht="24.95" customHeight="1" x14ac:dyDescent="0.25">
      <c r="A18" s="446"/>
      <c r="B18" s="359"/>
      <c r="C18" s="359"/>
      <c r="D18" s="160" t="s">
        <v>22</v>
      </c>
      <c r="E18" s="160" t="s">
        <v>437</v>
      </c>
      <c r="F18" s="160" t="s">
        <v>579</v>
      </c>
      <c r="G18" s="22">
        <v>110</v>
      </c>
      <c r="H18" s="339">
        <v>13131.6</v>
      </c>
      <c r="I18" s="339">
        <v>13815.5</v>
      </c>
      <c r="J18" s="339">
        <v>14161.8</v>
      </c>
      <c r="K18" s="339">
        <v>14410.6</v>
      </c>
      <c r="L18" s="339">
        <f>11061.4+19+3328.3</f>
        <v>14408.7</v>
      </c>
      <c r="M18" s="339">
        <v>15224.3</v>
      </c>
      <c r="N18" s="340">
        <v>14925</v>
      </c>
      <c r="O18" s="340">
        <v>14940.6</v>
      </c>
      <c r="P18" s="337">
        <f t="shared" si="2"/>
        <v>14940.6</v>
      </c>
      <c r="Q18" s="337">
        <f t="shared" si="0"/>
        <v>14940.6</v>
      </c>
      <c r="R18" s="336">
        <f t="shared" si="1"/>
        <v>144899.30000000002</v>
      </c>
      <c r="S18" s="366"/>
    </row>
    <row r="19" spans="1:19" ht="24.95" customHeight="1" x14ac:dyDescent="0.25">
      <c r="A19" s="446"/>
      <c r="B19" s="359"/>
      <c r="C19" s="359"/>
      <c r="D19" s="160" t="s">
        <v>22</v>
      </c>
      <c r="E19" s="160" t="s">
        <v>437</v>
      </c>
      <c r="F19" s="160" t="s">
        <v>586</v>
      </c>
      <c r="G19" s="22">
        <v>110</v>
      </c>
      <c r="H19" s="339"/>
      <c r="I19" s="339">
        <v>9.6999999999999993</v>
      </c>
      <c r="J19" s="339">
        <v>10.9</v>
      </c>
      <c r="K19" s="339">
        <v>12.4</v>
      </c>
      <c r="L19" s="339">
        <v>52.5</v>
      </c>
      <c r="M19" s="339">
        <v>130.5</v>
      </c>
      <c r="N19" s="340">
        <v>140.69999999999999</v>
      </c>
      <c r="O19" s="340">
        <v>125.1</v>
      </c>
      <c r="P19" s="340">
        <v>125.1</v>
      </c>
      <c r="Q19" s="337">
        <f t="shared" si="0"/>
        <v>125.1</v>
      </c>
      <c r="R19" s="336">
        <f t="shared" si="1"/>
        <v>732</v>
      </c>
      <c r="S19" s="366"/>
    </row>
    <row r="20" spans="1:19" ht="39.6" customHeight="1" x14ac:dyDescent="0.25">
      <c r="A20" s="446"/>
      <c r="B20" s="359"/>
      <c r="C20" s="359"/>
      <c r="D20" s="160" t="s">
        <v>22</v>
      </c>
      <c r="E20" s="160" t="s">
        <v>437</v>
      </c>
      <c r="F20" s="160" t="s">
        <v>587</v>
      </c>
      <c r="G20" s="22">
        <v>110</v>
      </c>
      <c r="H20" s="339"/>
      <c r="I20" s="339"/>
      <c r="J20" s="339"/>
      <c r="K20" s="339"/>
      <c r="L20" s="339"/>
      <c r="M20" s="339">
        <v>8.9</v>
      </c>
      <c r="N20" s="340">
        <v>83.6</v>
      </c>
      <c r="O20" s="340">
        <v>0</v>
      </c>
      <c r="P20" s="337">
        <v>0</v>
      </c>
      <c r="Q20" s="337">
        <f t="shared" si="0"/>
        <v>0</v>
      </c>
      <c r="R20" s="336">
        <f t="shared" si="1"/>
        <v>92.5</v>
      </c>
      <c r="S20" s="366"/>
    </row>
    <row r="21" spans="1:19" ht="39.6" customHeight="1" x14ac:dyDescent="0.25">
      <c r="A21" s="446"/>
      <c r="B21" s="359"/>
      <c r="C21" s="359"/>
      <c r="D21" s="160" t="s">
        <v>22</v>
      </c>
      <c r="E21" s="160" t="s">
        <v>437</v>
      </c>
      <c r="F21" s="160" t="s">
        <v>588</v>
      </c>
      <c r="G21" s="22">
        <v>110</v>
      </c>
      <c r="H21" s="339"/>
      <c r="I21" s="339"/>
      <c r="J21" s="339"/>
      <c r="K21" s="339"/>
      <c r="L21" s="339"/>
      <c r="M21" s="339"/>
      <c r="N21" s="340">
        <v>874.3</v>
      </c>
      <c r="O21" s="340"/>
      <c r="P21" s="337"/>
      <c r="Q21" s="337">
        <f t="shared" si="0"/>
        <v>0</v>
      </c>
      <c r="R21" s="336">
        <f t="shared" si="1"/>
        <v>874.3</v>
      </c>
      <c r="S21" s="366"/>
    </row>
    <row r="22" spans="1:19" ht="24.95" customHeight="1" x14ac:dyDescent="0.25">
      <c r="A22" s="446"/>
      <c r="B22" s="359"/>
      <c r="C22" s="359"/>
      <c r="D22" s="160" t="s">
        <v>22</v>
      </c>
      <c r="E22" s="160" t="s">
        <v>437</v>
      </c>
      <c r="F22" s="160" t="s">
        <v>589</v>
      </c>
      <c r="G22" s="22">
        <v>110</v>
      </c>
      <c r="H22" s="339"/>
      <c r="I22" s="339"/>
      <c r="J22" s="339"/>
      <c r="K22" s="339"/>
      <c r="L22" s="339"/>
      <c r="M22" s="339">
        <v>137.6</v>
      </c>
      <c r="N22" s="340"/>
      <c r="O22" s="340"/>
      <c r="P22" s="337"/>
      <c r="Q22" s="337">
        <f t="shared" si="0"/>
        <v>0</v>
      </c>
      <c r="R22" s="336">
        <f t="shared" si="1"/>
        <v>137.6</v>
      </c>
      <c r="S22" s="366"/>
    </row>
    <row r="23" spans="1:19" ht="24.95" customHeight="1" x14ac:dyDescent="0.25">
      <c r="A23" s="446"/>
      <c r="B23" s="359"/>
      <c r="C23" s="359"/>
      <c r="D23" s="160" t="s">
        <v>22</v>
      </c>
      <c r="E23" s="160" t="s">
        <v>437</v>
      </c>
      <c r="F23" s="160" t="s">
        <v>579</v>
      </c>
      <c r="G23" s="22">
        <v>850</v>
      </c>
      <c r="H23" s="339">
        <v>0</v>
      </c>
      <c r="I23" s="339">
        <v>0</v>
      </c>
      <c r="J23" s="339">
        <v>0</v>
      </c>
      <c r="K23" s="339">
        <v>21.8</v>
      </c>
      <c r="L23" s="339">
        <v>0.01</v>
      </c>
      <c r="M23" s="339"/>
      <c r="N23" s="340"/>
      <c r="O23" s="340"/>
      <c r="P23" s="337">
        <f t="shared" si="2"/>
        <v>0</v>
      </c>
      <c r="Q23" s="337">
        <f t="shared" si="0"/>
        <v>0</v>
      </c>
      <c r="R23" s="336">
        <f t="shared" si="1"/>
        <v>21.810000000000002</v>
      </c>
      <c r="S23" s="366"/>
    </row>
    <row r="24" spans="1:19" ht="24.95" customHeight="1" x14ac:dyDescent="0.25">
      <c r="A24" s="446"/>
      <c r="B24" s="359"/>
      <c r="C24" s="359"/>
      <c r="D24" s="160" t="s">
        <v>22</v>
      </c>
      <c r="E24" s="160" t="s">
        <v>437</v>
      </c>
      <c r="F24" s="160" t="s">
        <v>579</v>
      </c>
      <c r="G24" s="22">
        <v>240</v>
      </c>
      <c r="H24" s="339">
        <v>1021.5</v>
      </c>
      <c r="I24" s="339">
        <v>1111.2</v>
      </c>
      <c r="J24" s="339">
        <v>1144</v>
      </c>
      <c r="K24" s="339">
        <v>927.7</v>
      </c>
      <c r="L24" s="339">
        <v>969.6</v>
      </c>
      <c r="M24" s="339">
        <v>1242.5</v>
      </c>
      <c r="N24" s="340">
        <v>1202.4000000000001</v>
      </c>
      <c r="O24" s="340">
        <v>995.3</v>
      </c>
      <c r="P24" s="340">
        <v>995.3</v>
      </c>
      <c r="Q24" s="337">
        <f t="shared" si="0"/>
        <v>995.3</v>
      </c>
      <c r="R24" s="336">
        <f t="shared" si="1"/>
        <v>10604.799999999997</v>
      </c>
      <c r="S24" s="366"/>
    </row>
    <row r="25" spans="1:19" ht="24.95" customHeight="1" x14ac:dyDescent="0.25">
      <c r="A25" s="446" t="s">
        <v>590</v>
      </c>
      <c r="B25" s="366" t="s">
        <v>591</v>
      </c>
      <c r="C25" s="366" t="s">
        <v>592</v>
      </c>
      <c r="D25" s="160" t="s">
        <v>18</v>
      </c>
      <c r="E25" s="160" t="s">
        <v>437</v>
      </c>
      <c r="F25" s="160" t="s">
        <v>579</v>
      </c>
      <c r="G25" s="22">
        <v>110</v>
      </c>
      <c r="H25" s="339">
        <f>2965-H16</f>
        <v>2341.4</v>
      </c>
      <c r="I25" s="339">
        <f>3154-I16</f>
        <v>2530.4</v>
      </c>
      <c r="J25" s="339">
        <f>3155.8-J16</f>
        <v>2532.2000000000003</v>
      </c>
      <c r="K25" s="339">
        <f>4414.9-K16</f>
        <v>3804.8999999999996</v>
      </c>
      <c r="L25" s="339">
        <f>4501.5-L16</f>
        <v>3877.9</v>
      </c>
      <c r="M25" s="339">
        <f>4633.1-M16</f>
        <v>4009.5000000000005</v>
      </c>
      <c r="N25" s="340">
        <f>4946.7-N16</f>
        <v>4323.0999999999995</v>
      </c>
      <c r="O25" s="340">
        <f>4946.7-O16</f>
        <v>4323.0999999999995</v>
      </c>
      <c r="P25" s="340">
        <f>4946.7-P16</f>
        <v>4323.0999999999995</v>
      </c>
      <c r="Q25" s="337">
        <f t="shared" si="0"/>
        <v>4323.0999999999995</v>
      </c>
      <c r="R25" s="336">
        <f t="shared" si="1"/>
        <v>36388.699999999997</v>
      </c>
      <c r="S25" s="366" t="s">
        <v>593</v>
      </c>
    </row>
    <row r="26" spans="1:19" ht="24.95" customHeight="1" x14ac:dyDescent="0.25">
      <c r="A26" s="446"/>
      <c r="B26" s="366"/>
      <c r="C26" s="366"/>
      <c r="D26" s="160" t="s">
        <v>18</v>
      </c>
      <c r="E26" s="160" t="s">
        <v>437</v>
      </c>
      <c r="F26" s="160" t="s">
        <v>579</v>
      </c>
      <c r="G26" s="22">
        <v>240</v>
      </c>
      <c r="H26" s="339">
        <v>452.8</v>
      </c>
      <c r="I26" s="339">
        <v>540.79999999999995</v>
      </c>
      <c r="J26" s="339">
        <v>696.6</v>
      </c>
      <c r="K26" s="339">
        <v>1035.5</v>
      </c>
      <c r="L26" s="339">
        <v>708.9</v>
      </c>
      <c r="M26" s="339">
        <f>374+50</f>
        <v>424</v>
      </c>
      <c r="N26" s="340">
        <v>333.1</v>
      </c>
      <c r="O26" s="340">
        <v>249.9</v>
      </c>
      <c r="P26" s="340">
        <v>249.9</v>
      </c>
      <c r="Q26" s="337">
        <f t="shared" si="0"/>
        <v>249.9</v>
      </c>
      <c r="R26" s="336">
        <f t="shared" si="1"/>
        <v>4941.3999999999987</v>
      </c>
      <c r="S26" s="366"/>
    </row>
    <row r="27" spans="1:19" ht="24.95" customHeight="1" x14ac:dyDescent="0.25">
      <c r="A27" s="446"/>
      <c r="B27" s="366"/>
      <c r="C27" s="366"/>
      <c r="D27" s="160" t="s">
        <v>18</v>
      </c>
      <c r="E27" s="160" t="s">
        <v>437</v>
      </c>
      <c r="F27" s="160" t="s">
        <v>586</v>
      </c>
      <c r="G27" s="22">
        <v>110</v>
      </c>
      <c r="H27" s="339">
        <v>17.100000000000001</v>
      </c>
      <c r="I27" s="339">
        <v>29.8</v>
      </c>
      <c r="J27" s="339">
        <v>46.6</v>
      </c>
      <c r="K27" s="339">
        <v>58.6</v>
      </c>
      <c r="L27" s="339">
        <v>84.9</v>
      </c>
      <c r="M27" s="339">
        <v>136</v>
      </c>
      <c r="N27" s="340">
        <v>115.1</v>
      </c>
      <c r="O27" s="340">
        <v>115.1</v>
      </c>
      <c r="P27" s="340">
        <v>115.1</v>
      </c>
      <c r="Q27" s="337">
        <f t="shared" si="0"/>
        <v>115.1</v>
      </c>
      <c r="R27" s="336">
        <f t="shared" si="1"/>
        <v>833.40000000000009</v>
      </c>
      <c r="S27" s="366"/>
    </row>
    <row r="28" spans="1:19" ht="24.95" customHeight="1" x14ac:dyDescent="0.25">
      <c r="A28" s="446"/>
      <c r="B28" s="366"/>
      <c r="C28" s="366"/>
      <c r="D28" s="160" t="s">
        <v>18</v>
      </c>
      <c r="E28" s="160" t="s">
        <v>437</v>
      </c>
      <c r="F28" s="160" t="s">
        <v>588</v>
      </c>
      <c r="G28" s="22">
        <v>110</v>
      </c>
      <c r="H28" s="339"/>
      <c r="I28" s="339"/>
      <c r="J28" s="339"/>
      <c r="K28" s="339"/>
      <c r="L28" s="339"/>
      <c r="M28" s="339"/>
      <c r="N28" s="340">
        <v>295.8</v>
      </c>
      <c r="O28" s="340"/>
      <c r="P28" s="337"/>
      <c r="Q28" s="337">
        <f t="shared" si="0"/>
        <v>0</v>
      </c>
      <c r="R28" s="336">
        <f t="shared" si="1"/>
        <v>295.8</v>
      </c>
      <c r="S28" s="366"/>
    </row>
    <row r="29" spans="1:19" ht="24.95" customHeight="1" x14ac:dyDescent="0.25">
      <c r="A29" s="446"/>
      <c r="B29" s="366"/>
      <c r="C29" s="366"/>
      <c r="D29" s="160" t="s">
        <v>18</v>
      </c>
      <c r="E29" s="160" t="s">
        <v>437</v>
      </c>
      <c r="F29" s="160" t="s">
        <v>594</v>
      </c>
      <c r="G29" s="22">
        <v>110</v>
      </c>
      <c r="H29" s="339">
        <v>41.5</v>
      </c>
      <c r="I29" s="339">
        <v>4.4000000000000004</v>
      </c>
      <c r="J29" s="339"/>
      <c r="K29" s="339"/>
      <c r="L29" s="339"/>
      <c r="M29" s="339"/>
      <c r="N29" s="340"/>
      <c r="O29" s="340"/>
      <c r="P29" s="337">
        <f t="shared" si="2"/>
        <v>0</v>
      </c>
      <c r="Q29" s="337">
        <f t="shared" si="0"/>
        <v>0</v>
      </c>
      <c r="R29" s="336">
        <f t="shared" si="1"/>
        <v>45.9</v>
      </c>
      <c r="S29" s="366"/>
    </row>
    <row r="30" spans="1:19" ht="24.95" customHeight="1" x14ac:dyDescent="0.25">
      <c r="A30" s="446"/>
      <c r="B30" s="366"/>
      <c r="C30" s="366"/>
      <c r="D30" s="160" t="s">
        <v>18</v>
      </c>
      <c r="E30" s="160" t="s">
        <v>437</v>
      </c>
      <c r="F30" s="160" t="s">
        <v>589</v>
      </c>
      <c r="G30" s="22">
        <v>110</v>
      </c>
      <c r="H30" s="339">
        <v>0.6</v>
      </c>
      <c r="I30" s="339"/>
      <c r="J30" s="339"/>
      <c r="K30" s="339"/>
      <c r="L30" s="339"/>
      <c r="M30" s="339">
        <v>52.2</v>
      </c>
      <c r="N30" s="340"/>
      <c r="O30" s="340"/>
      <c r="P30" s="337">
        <f t="shared" si="2"/>
        <v>0</v>
      </c>
      <c r="Q30" s="337">
        <f t="shared" si="0"/>
        <v>0</v>
      </c>
      <c r="R30" s="336">
        <f t="shared" si="1"/>
        <v>52.800000000000004</v>
      </c>
      <c r="S30" s="366"/>
    </row>
    <row r="31" spans="1:19" ht="37.9" customHeight="1" x14ac:dyDescent="0.25">
      <c r="A31" s="446"/>
      <c r="B31" s="366"/>
      <c r="C31" s="366"/>
      <c r="D31" s="160" t="s">
        <v>18</v>
      </c>
      <c r="E31" s="160" t="s">
        <v>437</v>
      </c>
      <c r="F31" s="160" t="s">
        <v>587</v>
      </c>
      <c r="G31" s="22">
        <v>110</v>
      </c>
      <c r="H31" s="339"/>
      <c r="I31" s="339"/>
      <c r="J31" s="339"/>
      <c r="K31" s="339"/>
      <c r="L31" s="339"/>
      <c r="M31" s="339">
        <v>1.3</v>
      </c>
      <c r="N31" s="340">
        <v>12.5</v>
      </c>
      <c r="O31" s="340">
        <v>0</v>
      </c>
      <c r="P31" s="337">
        <v>0</v>
      </c>
      <c r="Q31" s="337">
        <f t="shared" si="0"/>
        <v>0</v>
      </c>
      <c r="R31" s="336">
        <f t="shared" si="1"/>
        <v>13.8</v>
      </c>
      <c r="S31" s="366"/>
    </row>
    <row r="32" spans="1:19" ht="24.6" customHeight="1" x14ac:dyDescent="0.25">
      <c r="A32" s="446"/>
      <c r="B32" s="366"/>
      <c r="C32" s="366"/>
      <c r="D32" s="160" t="s">
        <v>18</v>
      </c>
      <c r="E32" s="160" t="s">
        <v>437</v>
      </c>
      <c r="F32" s="160" t="s">
        <v>579</v>
      </c>
      <c r="G32" s="22">
        <v>350</v>
      </c>
      <c r="H32" s="339"/>
      <c r="I32" s="339"/>
      <c r="J32" s="339">
        <v>178.1</v>
      </c>
      <c r="K32" s="339">
        <v>228.1</v>
      </c>
      <c r="L32" s="339">
        <v>209.8</v>
      </c>
      <c r="M32" s="339">
        <v>280</v>
      </c>
      <c r="N32" s="340">
        <v>260</v>
      </c>
      <c r="O32" s="340">
        <v>200</v>
      </c>
      <c r="P32" s="340">
        <v>200</v>
      </c>
      <c r="Q32" s="337">
        <f t="shared" si="0"/>
        <v>200</v>
      </c>
      <c r="R32" s="336">
        <f t="shared" si="1"/>
        <v>1756</v>
      </c>
      <c r="S32" s="366"/>
    </row>
    <row r="33" spans="1:19" ht="24.95" customHeight="1" x14ac:dyDescent="0.25">
      <c r="A33" s="446"/>
      <c r="B33" s="366"/>
      <c r="C33" s="366"/>
      <c r="D33" s="160" t="s">
        <v>18</v>
      </c>
      <c r="E33" s="160" t="s">
        <v>437</v>
      </c>
      <c r="F33" s="160" t="s">
        <v>579</v>
      </c>
      <c r="G33" s="22">
        <v>360</v>
      </c>
      <c r="H33" s="339"/>
      <c r="I33" s="339"/>
      <c r="J33" s="339">
        <v>102</v>
      </c>
      <c r="K33" s="339">
        <v>70</v>
      </c>
      <c r="L33" s="339">
        <v>100</v>
      </c>
      <c r="M33" s="339"/>
      <c r="N33" s="340"/>
      <c r="O33" s="340"/>
      <c r="P33" s="337">
        <f t="shared" si="2"/>
        <v>0</v>
      </c>
      <c r="Q33" s="337">
        <f t="shared" si="0"/>
        <v>0</v>
      </c>
      <c r="R33" s="336">
        <f t="shared" si="1"/>
        <v>272</v>
      </c>
      <c r="S33" s="366"/>
    </row>
    <row r="34" spans="1:19" ht="24.95" customHeight="1" x14ac:dyDescent="0.25">
      <c r="A34" s="446"/>
      <c r="B34" s="366"/>
      <c r="C34" s="366"/>
      <c r="D34" s="160" t="s">
        <v>18</v>
      </c>
      <c r="E34" s="160" t="s">
        <v>437</v>
      </c>
      <c r="F34" s="160" t="s">
        <v>579</v>
      </c>
      <c r="G34" s="22">
        <v>850</v>
      </c>
      <c r="H34" s="339"/>
      <c r="I34" s="339"/>
      <c r="J34" s="339"/>
      <c r="K34" s="339">
        <v>10.1</v>
      </c>
      <c r="L34" s="339"/>
      <c r="M34" s="339">
        <v>0.1</v>
      </c>
      <c r="N34" s="340"/>
      <c r="O34" s="340"/>
      <c r="P34" s="337">
        <f t="shared" si="2"/>
        <v>0</v>
      </c>
      <c r="Q34" s="337">
        <f t="shared" si="0"/>
        <v>0</v>
      </c>
      <c r="R34" s="336">
        <f t="shared" si="1"/>
        <v>10.199999999999999</v>
      </c>
      <c r="S34" s="366"/>
    </row>
    <row r="35" spans="1:19" ht="42.6" customHeight="1" x14ac:dyDescent="0.25">
      <c r="A35" s="446"/>
      <c r="B35" s="366"/>
      <c r="C35" s="366"/>
      <c r="D35" s="160" t="s">
        <v>18</v>
      </c>
      <c r="E35" s="160" t="s">
        <v>437</v>
      </c>
      <c r="F35" s="160" t="s">
        <v>584</v>
      </c>
      <c r="G35" s="22">
        <v>110</v>
      </c>
      <c r="H35" s="339"/>
      <c r="I35" s="339"/>
      <c r="J35" s="339"/>
      <c r="K35" s="339"/>
      <c r="L35" s="339">
        <v>164.2</v>
      </c>
      <c r="M35" s="339"/>
      <c r="N35" s="340"/>
      <c r="O35" s="340"/>
      <c r="P35" s="337">
        <f t="shared" si="2"/>
        <v>0</v>
      </c>
      <c r="Q35" s="337">
        <f t="shared" si="0"/>
        <v>0</v>
      </c>
      <c r="R35" s="336">
        <f t="shared" si="1"/>
        <v>164.2</v>
      </c>
      <c r="S35" s="366"/>
    </row>
    <row r="36" spans="1:19" ht="24.95" customHeight="1" x14ac:dyDescent="0.25">
      <c r="A36" s="446"/>
      <c r="B36" s="366"/>
      <c r="C36" s="366"/>
      <c r="D36" s="160" t="s">
        <v>18</v>
      </c>
      <c r="E36" s="160" t="s">
        <v>437</v>
      </c>
      <c r="F36" s="160" t="s">
        <v>595</v>
      </c>
      <c r="G36" s="22">
        <v>110</v>
      </c>
      <c r="H36" s="339">
        <v>0</v>
      </c>
      <c r="I36" s="339">
        <v>0</v>
      </c>
      <c r="J36" s="339">
        <v>0</v>
      </c>
      <c r="K36" s="339">
        <v>210.1</v>
      </c>
      <c r="L36" s="339"/>
      <c r="M36" s="339">
        <v>0</v>
      </c>
      <c r="N36" s="340">
        <v>0</v>
      </c>
      <c r="O36" s="340">
        <v>0</v>
      </c>
      <c r="P36" s="337">
        <f t="shared" si="2"/>
        <v>0</v>
      </c>
      <c r="Q36" s="337">
        <f t="shared" si="0"/>
        <v>0</v>
      </c>
      <c r="R36" s="336">
        <f t="shared" si="1"/>
        <v>210.1</v>
      </c>
      <c r="S36" s="366"/>
    </row>
    <row r="37" spans="1:19" ht="48.6" customHeight="1" x14ac:dyDescent="0.25">
      <c r="A37" s="456" t="s">
        <v>596</v>
      </c>
      <c r="B37" s="354" t="s">
        <v>597</v>
      </c>
      <c r="C37" s="354" t="s">
        <v>598</v>
      </c>
      <c r="D37" s="160" t="s">
        <v>18</v>
      </c>
      <c r="E37" s="160" t="s">
        <v>437</v>
      </c>
      <c r="F37" s="160" t="s">
        <v>579</v>
      </c>
      <c r="G37" s="22">
        <v>110</v>
      </c>
      <c r="H37" s="339"/>
      <c r="I37" s="339"/>
      <c r="J37" s="339"/>
      <c r="K37" s="339"/>
      <c r="L37" s="339"/>
      <c r="M37" s="339">
        <v>2933.4</v>
      </c>
      <c r="N37" s="340">
        <v>7511.8</v>
      </c>
      <c r="O37" s="340">
        <f>N37</f>
        <v>7511.8</v>
      </c>
      <c r="P37" s="337">
        <f t="shared" si="2"/>
        <v>7511.8</v>
      </c>
      <c r="Q37" s="337">
        <f t="shared" si="0"/>
        <v>7511.8</v>
      </c>
      <c r="R37" s="336">
        <f t="shared" si="1"/>
        <v>32980.6</v>
      </c>
      <c r="S37" s="366"/>
    </row>
    <row r="38" spans="1:19" ht="48.6" customHeight="1" x14ac:dyDescent="0.25">
      <c r="A38" s="564"/>
      <c r="B38" s="355"/>
      <c r="C38" s="355"/>
      <c r="D38" s="160" t="s">
        <v>18</v>
      </c>
      <c r="E38" s="160" t="s">
        <v>437</v>
      </c>
      <c r="F38" s="160" t="s">
        <v>587</v>
      </c>
      <c r="G38" s="22">
        <v>110</v>
      </c>
      <c r="H38" s="339"/>
      <c r="I38" s="339"/>
      <c r="J38" s="339"/>
      <c r="K38" s="339"/>
      <c r="L38" s="339"/>
      <c r="M38" s="339">
        <v>24</v>
      </c>
      <c r="N38" s="340">
        <v>217.4</v>
      </c>
      <c r="O38" s="340"/>
      <c r="P38" s="337"/>
      <c r="Q38" s="337">
        <f t="shared" si="0"/>
        <v>0</v>
      </c>
      <c r="R38" s="336">
        <f t="shared" si="1"/>
        <v>241.4</v>
      </c>
      <c r="S38" s="366"/>
    </row>
    <row r="39" spans="1:19" ht="48.6" customHeight="1" x14ac:dyDescent="0.25">
      <c r="A39" s="564"/>
      <c r="B39" s="355"/>
      <c r="C39" s="355"/>
      <c r="D39" s="160" t="s">
        <v>18</v>
      </c>
      <c r="E39" s="160" t="s">
        <v>437</v>
      </c>
      <c r="F39" s="160" t="s">
        <v>599</v>
      </c>
      <c r="G39" s="22">
        <v>110</v>
      </c>
      <c r="H39" s="339"/>
      <c r="I39" s="339"/>
      <c r="J39" s="339"/>
      <c r="K39" s="339"/>
      <c r="L39" s="339"/>
      <c r="M39" s="339">
        <v>172.3</v>
      </c>
      <c r="N39" s="340"/>
      <c r="O39" s="340"/>
      <c r="P39" s="337"/>
      <c r="Q39" s="337">
        <f t="shared" si="0"/>
        <v>0</v>
      </c>
      <c r="R39" s="336">
        <f t="shared" si="1"/>
        <v>172.3</v>
      </c>
      <c r="S39" s="366"/>
    </row>
    <row r="40" spans="1:19" ht="48.6" customHeight="1" x14ac:dyDescent="0.25">
      <c r="A40" s="564"/>
      <c r="B40" s="355"/>
      <c r="C40" s="355"/>
      <c r="D40" s="160" t="s">
        <v>18</v>
      </c>
      <c r="E40" s="160" t="s">
        <v>437</v>
      </c>
      <c r="F40" s="160" t="s">
        <v>588</v>
      </c>
      <c r="G40" s="22">
        <v>110</v>
      </c>
      <c r="H40" s="339"/>
      <c r="I40" s="339"/>
      <c r="J40" s="339"/>
      <c r="K40" s="339"/>
      <c r="L40" s="339"/>
      <c r="M40" s="339"/>
      <c r="N40" s="340">
        <v>202.9</v>
      </c>
      <c r="O40" s="340"/>
      <c r="P40" s="337"/>
      <c r="Q40" s="337">
        <f t="shared" si="0"/>
        <v>0</v>
      </c>
      <c r="R40" s="336">
        <f t="shared" si="1"/>
        <v>202.9</v>
      </c>
      <c r="S40" s="366"/>
    </row>
    <row r="41" spans="1:19" ht="48.6" customHeight="1" x14ac:dyDescent="0.25">
      <c r="A41" s="564"/>
      <c r="B41" s="355"/>
      <c r="C41" s="355"/>
      <c r="D41" s="160" t="s">
        <v>18</v>
      </c>
      <c r="E41" s="160" t="s">
        <v>437</v>
      </c>
      <c r="F41" s="160" t="s">
        <v>589</v>
      </c>
      <c r="G41" s="22">
        <v>110</v>
      </c>
      <c r="H41" s="339"/>
      <c r="I41" s="339"/>
      <c r="J41" s="339"/>
      <c r="K41" s="339"/>
      <c r="L41" s="339"/>
      <c r="M41" s="339">
        <v>51.5</v>
      </c>
      <c r="N41" s="340"/>
      <c r="O41" s="340"/>
      <c r="P41" s="337"/>
      <c r="Q41" s="337">
        <f t="shared" si="0"/>
        <v>0</v>
      </c>
      <c r="R41" s="336">
        <f t="shared" si="1"/>
        <v>51.5</v>
      </c>
      <c r="S41" s="366"/>
    </row>
    <row r="42" spans="1:19" ht="24.95" customHeight="1" x14ac:dyDescent="0.25">
      <c r="A42" s="564"/>
      <c r="B42" s="355"/>
      <c r="C42" s="355"/>
      <c r="D42" s="160" t="s">
        <v>18</v>
      </c>
      <c r="E42" s="160" t="s">
        <v>437</v>
      </c>
      <c r="F42" s="160" t="s">
        <v>579</v>
      </c>
      <c r="G42" s="22">
        <v>240</v>
      </c>
      <c r="H42" s="339"/>
      <c r="I42" s="339"/>
      <c r="J42" s="339"/>
      <c r="K42" s="339"/>
      <c r="L42" s="339"/>
      <c r="M42" s="339">
        <v>2454.6</v>
      </c>
      <c r="N42" s="340">
        <f>3304.9+180</f>
        <v>3484.9</v>
      </c>
      <c r="O42" s="340">
        <v>3304.9</v>
      </c>
      <c r="P42" s="337">
        <f t="shared" si="2"/>
        <v>3304.9</v>
      </c>
      <c r="Q42" s="337">
        <f t="shared" si="0"/>
        <v>3304.9</v>
      </c>
      <c r="R42" s="336">
        <f t="shared" si="1"/>
        <v>15854.199999999999</v>
      </c>
      <c r="S42" s="366"/>
    </row>
    <row r="43" spans="1:19" ht="24.95" customHeight="1" x14ac:dyDescent="0.25">
      <c r="A43" s="564"/>
      <c r="B43" s="355"/>
      <c r="C43" s="355"/>
      <c r="D43" s="160" t="s">
        <v>18</v>
      </c>
      <c r="E43" s="160" t="s">
        <v>437</v>
      </c>
      <c r="F43" s="160" t="s">
        <v>579</v>
      </c>
      <c r="G43" s="22">
        <v>320</v>
      </c>
      <c r="H43" s="339"/>
      <c r="I43" s="339"/>
      <c r="J43" s="339"/>
      <c r="K43" s="339"/>
      <c r="L43" s="339"/>
      <c r="M43" s="339">
        <v>310.10000000000002</v>
      </c>
      <c r="N43" s="340"/>
      <c r="O43" s="340"/>
      <c r="P43" s="337">
        <f t="shared" si="2"/>
        <v>0</v>
      </c>
      <c r="Q43" s="337">
        <f t="shared" si="0"/>
        <v>0</v>
      </c>
      <c r="R43" s="336">
        <f t="shared" si="1"/>
        <v>310.10000000000002</v>
      </c>
      <c r="S43" s="366"/>
    </row>
    <row r="44" spans="1:19" ht="24.95" customHeight="1" x14ac:dyDescent="0.25">
      <c r="A44" s="564"/>
      <c r="B44" s="355"/>
      <c r="C44" s="355"/>
      <c r="D44" s="160" t="s">
        <v>18</v>
      </c>
      <c r="E44" s="160" t="s">
        <v>437</v>
      </c>
      <c r="F44" s="160" t="s">
        <v>579</v>
      </c>
      <c r="G44" s="22">
        <v>800</v>
      </c>
      <c r="H44" s="339"/>
      <c r="I44" s="339"/>
      <c r="J44" s="339"/>
      <c r="K44" s="339"/>
      <c r="L44" s="339"/>
      <c r="M44" s="339">
        <v>29.3</v>
      </c>
      <c r="N44" s="340">
        <f>6+37.6</f>
        <v>43.6</v>
      </c>
      <c r="O44" s="340">
        <f>N44+0.1</f>
        <v>43.7</v>
      </c>
      <c r="P44" s="337">
        <f t="shared" si="2"/>
        <v>43.7</v>
      </c>
      <c r="Q44" s="337">
        <f t="shared" si="0"/>
        <v>43.7</v>
      </c>
      <c r="R44" s="336">
        <f t="shared" si="1"/>
        <v>204</v>
      </c>
      <c r="S44" s="366"/>
    </row>
    <row r="45" spans="1:19" ht="24.95" customHeight="1" x14ac:dyDescent="0.25">
      <c r="A45" s="457"/>
      <c r="B45" s="373"/>
      <c r="C45" s="373"/>
      <c r="D45" s="160" t="s">
        <v>18</v>
      </c>
      <c r="E45" s="160" t="s">
        <v>437</v>
      </c>
      <c r="F45" s="160" t="s">
        <v>586</v>
      </c>
      <c r="G45" s="22">
        <v>110</v>
      </c>
      <c r="H45" s="339"/>
      <c r="I45" s="339"/>
      <c r="J45" s="339"/>
      <c r="K45" s="339"/>
      <c r="L45" s="339"/>
      <c r="M45" s="339">
        <v>1700.2</v>
      </c>
      <c r="N45" s="340">
        <v>2634.8</v>
      </c>
      <c r="O45" s="340">
        <f>N45</f>
        <v>2634.8</v>
      </c>
      <c r="P45" s="337">
        <f t="shared" si="2"/>
        <v>2634.8</v>
      </c>
      <c r="Q45" s="337">
        <f t="shared" si="0"/>
        <v>2634.8</v>
      </c>
      <c r="R45" s="336">
        <f t="shared" si="1"/>
        <v>12239.400000000001</v>
      </c>
      <c r="S45" s="366"/>
    </row>
    <row r="46" spans="1:19" ht="24.95" customHeight="1" x14ac:dyDescent="0.25">
      <c r="A46" s="563" t="s">
        <v>319</v>
      </c>
      <c r="B46" s="563"/>
      <c r="C46" s="6"/>
      <c r="D46" s="160"/>
      <c r="E46" s="160"/>
      <c r="F46" s="179"/>
      <c r="G46" s="160"/>
      <c r="H46" s="339">
        <f>SUM(H7:H36)</f>
        <v>19536.699999999997</v>
      </c>
      <c r="I46" s="339">
        <f>SUM(I7:I36)</f>
        <v>21029.500000000004</v>
      </c>
      <c r="J46" s="339">
        <f>SUM(J7:J36)</f>
        <v>21804.799999999996</v>
      </c>
      <c r="K46" s="339">
        <f>SUM(K7:K36)</f>
        <v>23513.399999999994</v>
      </c>
      <c r="L46" s="339">
        <f>SUM(L7:L36)</f>
        <v>24124.210000000003</v>
      </c>
      <c r="M46" s="339">
        <f>SUM(M7:M45)</f>
        <v>32474.699999999997</v>
      </c>
      <c r="N46" s="340">
        <f>SUM(N7:N45)</f>
        <v>39969.700000000004</v>
      </c>
      <c r="O46" s="340">
        <f>SUM(O7:O45)</f>
        <v>37378.6</v>
      </c>
      <c r="P46" s="340">
        <f>SUM(P7:P45)</f>
        <v>37378.6</v>
      </c>
      <c r="Q46" s="337">
        <f t="shared" si="0"/>
        <v>37378.6</v>
      </c>
      <c r="R46" s="336">
        <f t="shared" si="1"/>
        <v>294588.81</v>
      </c>
      <c r="S46" s="366"/>
    </row>
    <row r="47" spans="1:19" ht="35.1" customHeight="1" x14ac:dyDescent="0.25">
      <c r="A47" s="472" t="s">
        <v>559</v>
      </c>
      <c r="B47" s="472"/>
      <c r="C47" s="472"/>
      <c r="D47" s="472"/>
      <c r="E47" s="472"/>
      <c r="F47" s="472"/>
      <c r="G47" s="472"/>
      <c r="H47" s="472"/>
      <c r="I47" s="472"/>
      <c r="J47" s="472"/>
      <c r="K47" s="472"/>
      <c r="L47" s="472"/>
      <c r="M47" s="472"/>
      <c r="N47" s="472"/>
      <c r="O47" s="472"/>
      <c r="P47" s="472"/>
      <c r="Q47" s="472"/>
      <c r="R47" s="472"/>
      <c r="S47" s="472"/>
    </row>
    <row r="48" spans="1:19" ht="24.95" customHeight="1" x14ac:dyDescent="0.25">
      <c r="A48" s="446" t="s">
        <v>600</v>
      </c>
      <c r="B48" s="561" t="s">
        <v>601</v>
      </c>
      <c r="C48" s="366" t="s">
        <v>602</v>
      </c>
      <c r="D48" s="520" t="s">
        <v>18</v>
      </c>
      <c r="E48" s="511" t="s">
        <v>437</v>
      </c>
      <c r="F48" s="160" t="s">
        <v>603</v>
      </c>
      <c r="G48" s="6">
        <v>120</v>
      </c>
      <c r="H48" s="339">
        <v>817.5</v>
      </c>
      <c r="I48" s="339">
        <v>841.6</v>
      </c>
      <c r="J48" s="339">
        <v>858.7</v>
      </c>
      <c r="K48" s="339">
        <v>858.7</v>
      </c>
      <c r="L48" s="339">
        <v>1430.7</v>
      </c>
      <c r="M48" s="339">
        <v>1626.7</v>
      </c>
      <c r="N48" s="340">
        <v>1889.8</v>
      </c>
      <c r="O48" s="340">
        <v>2029.5</v>
      </c>
      <c r="P48" s="340">
        <v>2029.5</v>
      </c>
      <c r="Q48" s="340">
        <f>P48</f>
        <v>2029.5</v>
      </c>
      <c r="R48" s="339">
        <f>SUM(H48:Q48)</f>
        <v>14412.199999999999</v>
      </c>
      <c r="S48" s="366" t="s">
        <v>604</v>
      </c>
    </row>
    <row r="49" spans="1:19" ht="24.95" customHeight="1" x14ac:dyDescent="0.25">
      <c r="A49" s="446"/>
      <c r="B49" s="561"/>
      <c r="C49" s="366"/>
      <c r="D49" s="520"/>
      <c r="E49" s="511"/>
      <c r="F49" s="160" t="s">
        <v>603</v>
      </c>
      <c r="G49" s="6">
        <v>850</v>
      </c>
      <c r="H49" s="339"/>
      <c r="I49" s="339"/>
      <c r="J49" s="339">
        <v>0.3</v>
      </c>
      <c r="K49" s="339"/>
      <c r="L49" s="339">
        <v>0.6</v>
      </c>
      <c r="M49" s="339">
        <v>0.6</v>
      </c>
      <c r="N49" s="340">
        <v>0.6</v>
      </c>
      <c r="O49" s="340">
        <v>0.6</v>
      </c>
      <c r="P49" s="340">
        <v>0.6</v>
      </c>
      <c r="Q49" s="340">
        <f t="shared" ref="Q49:Q57" si="3">P49</f>
        <v>0.6</v>
      </c>
      <c r="R49" s="339">
        <f t="shared" ref="R49:R57" si="4">SUM(H49:Q49)</f>
        <v>3.9000000000000004</v>
      </c>
      <c r="S49" s="366"/>
    </row>
    <row r="50" spans="1:19" ht="24.95" customHeight="1" x14ac:dyDescent="0.25">
      <c r="A50" s="446"/>
      <c r="B50" s="561"/>
      <c r="C50" s="366"/>
      <c r="D50" s="520"/>
      <c r="E50" s="511"/>
      <c r="F50" s="160" t="s">
        <v>603</v>
      </c>
      <c r="G50" s="22">
        <v>244</v>
      </c>
      <c r="H50" s="339">
        <v>248</v>
      </c>
      <c r="I50" s="339">
        <v>247.9</v>
      </c>
      <c r="J50" s="339">
        <v>247.6</v>
      </c>
      <c r="K50" s="339">
        <v>247.9</v>
      </c>
      <c r="L50" s="339">
        <v>383.9</v>
      </c>
      <c r="M50" s="339">
        <v>399</v>
      </c>
      <c r="N50" s="340">
        <v>399</v>
      </c>
      <c r="O50" s="340">
        <v>399</v>
      </c>
      <c r="P50" s="340">
        <v>399</v>
      </c>
      <c r="Q50" s="340">
        <f t="shared" si="3"/>
        <v>399</v>
      </c>
      <c r="R50" s="339">
        <f t="shared" si="4"/>
        <v>3370.3</v>
      </c>
      <c r="S50" s="366"/>
    </row>
    <row r="51" spans="1:19" ht="24.95" customHeight="1" x14ac:dyDescent="0.25">
      <c r="A51" s="446" t="s">
        <v>605</v>
      </c>
      <c r="B51" s="561" t="s">
        <v>606</v>
      </c>
      <c r="C51" s="366" t="s">
        <v>607</v>
      </c>
      <c r="D51" s="160" t="s">
        <v>20</v>
      </c>
      <c r="E51" s="160" t="s">
        <v>293</v>
      </c>
      <c r="F51" s="160" t="s">
        <v>608</v>
      </c>
      <c r="G51" s="160" t="s">
        <v>609</v>
      </c>
      <c r="H51" s="339">
        <v>2129.1999999999998</v>
      </c>
      <c r="I51" s="339">
        <v>3247.3</v>
      </c>
      <c r="J51" s="339">
        <v>9009.9</v>
      </c>
      <c r="K51" s="339">
        <v>0</v>
      </c>
      <c r="L51" s="339"/>
      <c r="M51" s="339"/>
      <c r="N51" s="340"/>
      <c r="O51" s="340"/>
      <c r="P51" s="340">
        <f>O51</f>
        <v>0</v>
      </c>
      <c r="Q51" s="340">
        <f t="shared" si="3"/>
        <v>0</v>
      </c>
      <c r="R51" s="339">
        <f t="shared" si="4"/>
        <v>14386.4</v>
      </c>
      <c r="S51" s="366" t="s">
        <v>610</v>
      </c>
    </row>
    <row r="52" spans="1:19" ht="24.95" customHeight="1" x14ac:dyDescent="0.25">
      <c r="A52" s="446"/>
      <c r="B52" s="561"/>
      <c r="C52" s="366"/>
      <c r="D52" s="160" t="s">
        <v>20</v>
      </c>
      <c r="E52" s="160" t="s">
        <v>293</v>
      </c>
      <c r="F52" s="160" t="s">
        <v>611</v>
      </c>
      <c r="G52" s="160" t="s">
        <v>609</v>
      </c>
      <c r="H52" s="339">
        <v>5394</v>
      </c>
      <c r="I52" s="339">
        <v>4190.7</v>
      </c>
      <c r="J52" s="339"/>
      <c r="K52" s="339"/>
      <c r="L52" s="339"/>
      <c r="M52" s="339"/>
      <c r="N52" s="340"/>
      <c r="O52" s="340"/>
      <c r="P52" s="340">
        <f>O52</f>
        <v>0</v>
      </c>
      <c r="Q52" s="340">
        <f t="shared" si="3"/>
        <v>0</v>
      </c>
      <c r="R52" s="339">
        <f t="shared" si="4"/>
        <v>9584.7000000000007</v>
      </c>
      <c r="S52" s="366"/>
    </row>
    <row r="53" spans="1:19" ht="40.9" customHeight="1" x14ac:dyDescent="0.25">
      <c r="A53" s="446"/>
      <c r="B53" s="561"/>
      <c r="C53" s="366"/>
      <c r="D53" s="160" t="s">
        <v>20</v>
      </c>
      <c r="E53" s="160" t="s">
        <v>293</v>
      </c>
      <c r="F53" s="160" t="s">
        <v>612</v>
      </c>
      <c r="G53" s="160" t="s">
        <v>609</v>
      </c>
      <c r="H53" s="339"/>
      <c r="I53" s="339"/>
      <c r="J53" s="339">
        <v>473.9</v>
      </c>
      <c r="K53" s="339">
        <f>5610+2805+765</f>
        <v>9180</v>
      </c>
      <c r="L53" s="339">
        <v>10241.9</v>
      </c>
      <c r="M53" s="339">
        <v>9907.9</v>
      </c>
      <c r="N53" s="340">
        <v>0</v>
      </c>
      <c r="O53" s="340">
        <v>6111.9</v>
      </c>
      <c r="P53" s="340">
        <v>3055.9</v>
      </c>
      <c r="Q53" s="340">
        <f t="shared" si="3"/>
        <v>3055.9</v>
      </c>
      <c r="R53" s="339">
        <f t="shared" si="4"/>
        <v>42027.4</v>
      </c>
      <c r="S53" s="366"/>
    </row>
    <row r="54" spans="1:19" ht="35.1" customHeight="1" x14ac:dyDescent="0.3">
      <c r="A54" s="562" t="s">
        <v>452</v>
      </c>
      <c r="B54" s="562"/>
      <c r="C54" s="341"/>
      <c r="D54" s="342"/>
      <c r="E54" s="342"/>
      <c r="F54" s="343"/>
      <c r="G54" s="342"/>
      <c r="H54" s="339">
        <f t="shared" ref="H54:N54" si="5">SUM(H48:H53)</f>
        <v>8588.7000000000007</v>
      </c>
      <c r="I54" s="339">
        <f t="shared" si="5"/>
        <v>8527.5</v>
      </c>
      <c r="J54" s="339">
        <f t="shared" si="5"/>
        <v>10590.4</v>
      </c>
      <c r="K54" s="339">
        <f t="shared" si="5"/>
        <v>10286.6</v>
      </c>
      <c r="L54" s="339">
        <f>SUM(L48:L53)</f>
        <v>12057.099999999999</v>
      </c>
      <c r="M54" s="339">
        <f t="shared" si="5"/>
        <v>11934.199999999999</v>
      </c>
      <c r="N54" s="340">
        <f t="shared" si="5"/>
        <v>2289.3999999999996</v>
      </c>
      <c r="O54" s="340">
        <f>SUM(O48:O53)</f>
        <v>8541</v>
      </c>
      <c r="P54" s="340">
        <f>SUM(P48:P53)</f>
        <v>5485</v>
      </c>
      <c r="Q54" s="340">
        <f t="shared" si="3"/>
        <v>5485</v>
      </c>
      <c r="R54" s="339">
        <f t="shared" si="4"/>
        <v>83784.899999999994</v>
      </c>
      <c r="S54" s="344"/>
    </row>
    <row r="55" spans="1:19" s="98" customFormat="1" ht="35.1" customHeight="1" x14ac:dyDescent="0.2">
      <c r="A55" s="559" t="s">
        <v>320</v>
      </c>
      <c r="B55" s="559"/>
      <c r="C55" s="341"/>
      <c r="D55" s="342"/>
      <c r="E55" s="341"/>
      <c r="F55" s="341"/>
      <c r="G55" s="341"/>
      <c r="H55" s="339">
        <f t="shared" ref="H55:N55" si="6">H46+H54</f>
        <v>28125.399999999998</v>
      </c>
      <c r="I55" s="339">
        <f t="shared" si="6"/>
        <v>29557.000000000004</v>
      </c>
      <c r="J55" s="339">
        <f t="shared" si="6"/>
        <v>32395.199999999997</v>
      </c>
      <c r="K55" s="339">
        <f t="shared" si="6"/>
        <v>33799.999999999993</v>
      </c>
      <c r="L55" s="339">
        <f t="shared" si="6"/>
        <v>36181.31</v>
      </c>
      <c r="M55" s="339">
        <f t="shared" si="6"/>
        <v>44408.899999999994</v>
      </c>
      <c r="N55" s="345">
        <f t="shared" si="6"/>
        <v>42259.100000000006</v>
      </c>
      <c r="O55" s="345">
        <f>O46+O54</f>
        <v>45919.6</v>
      </c>
      <c r="P55" s="345">
        <f>P46+P54</f>
        <v>42863.6</v>
      </c>
      <c r="Q55" s="340">
        <f t="shared" si="3"/>
        <v>42863.6</v>
      </c>
      <c r="R55" s="339">
        <f t="shared" si="4"/>
        <v>378373.70999999996</v>
      </c>
      <c r="S55" s="346"/>
    </row>
    <row r="56" spans="1:19" s="98" customFormat="1" ht="35.1" customHeight="1" x14ac:dyDescent="0.2">
      <c r="A56" s="559" t="s">
        <v>321</v>
      </c>
      <c r="B56" s="559"/>
      <c r="C56" s="341"/>
      <c r="D56" s="342"/>
      <c r="E56" s="341"/>
      <c r="F56" s="341"/>
      <c r="G56" s="341"/>
      <c r="H56" s="339">
        <f>H54</f>
        <v>8588.7000000000007</v>
      </c>
      <c r="I56" s="339">
        <f>I54</f>
        <v>8527.5</v>
      </c>
      <c r="J56" s="339">
        <f>J54</f>
        <v>10590.4</v>
      </c>
      <c r="K56" s="339">
        <f>K54</f>
        <v>10286.6</v>
      </c>
      <c r="L56" s="339">
        <f>L54+L35+L15+L14+L17+L13</f>
        <v>12950.499999999998</v>
      </c>
      <c r="M56" s="339">
        <f>M12+M14+M15+M20+M22+M30+M31+M38+M39+M41+M54</f>
        <v>12440.3</v>
      </c>
      <c r="N56" s="345">
        <f>N12+N14+N15+N20+N22+N30+N31+N38+N39+N41+N54+N40+N28+N21+N10+N11</f>
        <v>4225.9999999999991</v>
      </c>
      <c r="O56" s="345">
        <f>O12+O14+O15+O20+O22+O30+O31+O38+O39+O41+O54</f>
        <v>8541</v>
      </c>
      <c r="P56" s="345">
        <f>P12+P14+P15+P20+P22+P30+P31+P38+P39+P41+P54</f>
        <v>5485</v>
      </c>
      <c r="Q56" s="340">
        <f t="shared" si="3"/>
        <v>5485</v>
      </c>
      <c r="R56" s="339">
        <f t="shared" si="4"/>
        <v>87121</v>
      </c>
      <c r="S56" s="346"/>
    </row>
    <row r="57" spans="1:19" s="98" customFormat="1" ht="35.1" customHeight="1" x14ac:dyDescent="0.2">
      <c r="A57" s="559" t="s">
        <v>322</v>
      </c>
      <c r="B57" s="559"/>
      <c r="C57" s="341"/>
      <c r="D57" s="342"/>
      <c r="E57" s="341"/>
      <c r="F57" s="341"/>
      <c r="G57" s="341"/>
      <c r="H57" s="339">
        <f>H46</f>
        <v>19536.699999999997</v>
      </c>
      <c r="I57" s="339">
        <f>I46</f>
        <v>21029.500000000004</v>
      </c>
      <c r="J57" s="339">
        <f>J46</f>
        <v>21804.799999999996</v>
      </c>
      <c r="K57" s="339">
        <f>K46</f>
        <v>23513.399999999994</v>
      </c>
      <c r="L57" s="339">
        <f>L7+L8+L16+L18+L19+L23+L24+L25+L26+L27+L32+L33+L9</f>
        <v>23230.81</v>
      </c>
      <c r="M57" s="339">
        <f>M55-M56</f>
        <v>31968.599999999995</v>
      </c>
      <c r="N57" s="345">
        <f>N55-N56</f>
        <v>38033.100000000006</v>
      </c>
      <c r="O57" s="340">
        <f>O55-O56</f>
        <v>37378.6</v>
      </c>
      <c r="P57" s="340">
        <f>P55-P56</f>
        <v>37378.6</v>
      </c>
      <c r="Q57" s="340">
        <f t="shared" si="3"/>
        <v>37378.6</v>
      </c>
      <c r="R57" s="339">
        <f t="shared" si="4"/>
        <v>291252.71000000002</v>
      </c>
      <c r="S57" s="346"/>
    </row>
    <row r="58" spans="1:19" s="205" customFormat="1" ht="56.25" customHeight="1" x14ac:dyDescent="0.3">
      <c r="A58" s="560" t="s">
        <v>33</v>
      </c>
      <c r="B58" s="560"/>
      <c r="C58" s="560"/>
      <c r="D58" s="347"/>
      <c r="E58" s="347"/>
      <c r="F58" s="347"/>
      <c r="G58" s="347"/>
      <c r="H58" s="347"/>
      <c r="I58" s="348"/>
      <c r="J58" s="349"/>
      <c r="K58" s="350"/>
      <c r="L58" s="351"/>
      <c r="M58" s="351"/>
      <c r="N58" s="352"/>
      <c r="O58" s="352"/>
      <c r="P58" s="352"/>
      <c r="Q58" s="352"/>
      <c r="R58" s="349"/>
      <c r="S58" s="353" t="s">
        <v>34</v>
      </c>
    </row>
    <row r="59" spans="1:19" x14ac:dyDescent="0.25">
      <c r="A59" s="189"/>
      <c r="B59" s="190"/>
      <c r="C59" s="191"/>
      <c r="D59" s="191"/>
      <c r="E59" s="191"/>
      <c r="F59" s="191"/>
      <c r="G59" s="191"/>
      <c r="H59" s="191"/>
      <c r="L59" s="37"/>
    </row>
    <row r="60" spans="1:19" x14ac:dyDescent="0.25">
      <c r="A60" s="189"/>
      <c r="B60" s="190"/>
      <c r="C60" s="191"/>
      <c r="D60" s="191"/>
      <c r="E60" s="191"/>
      <c r="F60" s="191"/>
      <c r="G60" s="191"/>
      <c r="H60" s="191"/>
    </row>
    <row r="61" spans="1:19" x14ac:dyDescent="0.25">
      <c r="A61" s="189"/>
      <c r="B61" s="190"/>
      <c r="C61" s="191"/>
      <c r="D61" s="191"/>
      <c r="E61" s="191"/>
      <c r="F61" s="191"/>
      <c r="G61" s="191"/>
      <c r="H61" s="191"/>
      <c r="I61" s="35"/>
    </row>
    <row r="62" spans="1:19" x14ac:dyDescent="0.25">
      <c r="A62" s="189"/>
      <c r="B62" s="190"/>
      <c r="C62" s="191"/>
      <c r="D62" s="191"/>
      <c r="E62" s="191"/>
      <c r="F62" s="191"/>
      <c r="G62" s="191"/>
      <c r="H62" s="191"/>
    </row>
    <row r="63" spans="1:19" x14ac:dyDescent="0.25">
      <c r="A63" s="189"/>
      <c r="B63" s="190"/>
      <c r="C63" s="191"/>
      <c r="D63" s="191"/>
      <c r="E63" s="191"/>
      <c r="F63" s="191"/>
      <c r="G63" s="191"/>
      <c r="H63" s="191"/>
    </row>
    <row r="64" spans="1:19" x14ac:dyDescent="0.25">
      <c r="A64" s="189"/>
      <c r="B64" s="190"/>
      <c r="C64" s="191"/>
      <c r="D64" s="191"/>
      <c r="E64" s="191"/>
      <c r="F64" s="191"/>
      <c r="G64" s="191"/>
      <c r="H64" s="191"/>
    </row>
    <row r="65" spans="1:8" x14ac:dyDescent="0.25">
      <c r="A65" s="189"/>
      <c r="B65" s="190"/>
      <c r="C65" s="191"/>
      <c r="D65" s="191"/>
      <c r="E65" s="191"/>
      <c r="F65" s="191"/>
      <c r="G65" s="191"/>
      <c r="H65" s="191"/>
    </row>
    <row r="66" spans="1:8" x14ac:dyDescent="0.25">
      <c r="A66" s="189"/>
      <c r="B66" s="190"/>
      <c r="C66" s="191"/>
      <c r="D66" s="191"/>
      <c r="E66" s="191"/>
      <c r="F66" s="191"/>
      <c r="G66" s="191"/>
      <c r="H66" s="191"/>
    </row>
    <row r="67" spans="1:8" x14ac:dyDescent="0.25">
      <c r="A67" s="189"/>
      <c r="B67" s="190"/>
      <c r="C67" s="191"/>
      <c r="D67" s="191"/>
      <c r="E67" s="191"/>
      <c r="F67" s="191"/>
      <c r="G67" s="191"/>
      <c r="H67" s="191"/>
    </row>
    <row r="68" spans="1:8" x14ac:dyDescent="0.25">
      <c r="A68" s="189"/>
      <c r="B68" s="190"/>
      <c r="C68" s="191"/>
      <c r="D68" s="191"/>
      <c r="E68" s="191"/>
      <c r="F68" s="191"/>
      <c r="G68" s="191"/>
      <c r="H68" s="191"/>
    </row>
    <row r="69" spans="1:8" x14ac:dyDescent="0.25">
      <c r="A69" s="189"/>
      <c r="B69" s="190"/>
      <c r="C69" s="191"/>
      <c r="D69" s="191"/>
      <c r="E69" s="191"/>
      <c r="F69" s="191"/>
      <c r="G69" s="191"/>
      <c r="H69" s="191"/>
    </row>
    <row r="70" spans="1:8" x14ac:dyDescent="0.25">
      <c r="A70" s="189"/>
      <c r="B70" s="190"/>
      <c r="C70" s="191"/>
      <c r="D70" s="191"/>
      <c r="E70" s="191"/>
      <c r="F70" s="191"/>
      <c r="G70" s="191"/>
      <c r="H70" s="191"/>
    </row>
    <row r="71" spans="1:8" x14ac:dyDescent="0.25">
      <c r="A71" s="189"/>
      <c r="B71" s="190"/>
      <c r="C71" s="191"/>
      <c r="D71" s="191"/>
      <c r="E71" s="191"/>
      <c r="F71" s="191"/>
      <c r="G71" s="191"/>
      <c r="H71" s="191"/>
    </row>
    <row r="72" spans="1:8" x14ac:dyDescent="0.25">
      <c r="A72" s="189"/>
      <c r="B72" s="190"/>
      <c r="C72" s="191"/>
      <c r="D72" s="191"/>
      <c r="E72" s="191"/>
      <c r="F72" s="191"/>
      <c r="G72" s="191"/>
      <c r="H72" s="191"/>
    </row>
    <row r="73" spans="1:8" x14ac:dyDescent="0.25">
      <c r="A73" s="189"/>
      <c r="B73" s="190"/>
      <c r="C73" s="191"/>
      <c r="D73" s="191"/>
      <c r="E73" s="191"/>
      <c r="F73" s="191"/>
      <c r="G73" s="191"/>
      <c r="H73" s="191"/>
    </row>
    <row r="74" spans="1:8" x14ac:dyDescent="0.25">
      <c r="A74" s="189"/>
      <c r="B74" s="190"/>
      <c r="C74" s="191"/>
      <c r="D74" s="191"/>
      <c r="E74" s="191"/>
      <c r="F74" s="191"/>
      <c r="G74" s="191"/>
      <c r="H74" s="191"/>
    </row>
    <row r="75" spans="1:8" x14ac:dyDescent="0.25">
      <c r="A75" s="189"/>
      <c r="B75" s="190"/>
      <c r="C75" s="191"/>
      <c r="D75" s="191"/>
      <c r="E75" s="191"/>
      <c r="F75" s="191"/>
      <c r="G75" s="191"/>
      <c r="H75" s="191"/>
    </row>
    <row r="76" spans="1:8" x14ac:dyDescent="0.25">
      <c r="A76" s="189"/>
      <c r="B76" s="190"/>
      <c r="C76" s="191"/>
      <c r="D76" s="191"/>
      <c r="E76" s="191"/>
      <c r="F76" s="191"/>
      <c r="G76" s="191"/>
      <c r="H76" s="191"/>
    </row>
    <row r="77" spans="1:8" x14ac:dyDescent="0.25">
      <c r="A77" s="189"/>
      <c r="B77" s="190"/>
      <c r="C77" s="191"/>
      <c r="D77" s="191"/>
      <c r="E77" s="191"/>
      <c r="F77" s="191"/>
      <c r="G77" s="191"/>
      <c r="H77" s="191"/>
    </row>
    <row r="78" spans="1:8" x14ac:dyDescent="0.25">
      <c r="A78" s="189"/>
      <c r="B78" s="190"/>
      <c r="C78" s="191"/>
      <c r="D78" s="191"/>
      <c r="E78" s="191"/>
      <c r="F78" s="191"/>
      <c r="G78" s="191"/>
      <c r="H78" s="191"/>
    </row>
    <row r="79" spans="1:8" x14ac:dyDescent="0.25">
      <c r="A79" s="189"/>
      <c r="B79" s="190"/>
      <c r="C79" s="191"/>
      <c r="D79" s="191"/>
      <c r="E79" s="191"/>
      <c r="F79" s="191"/>
      <c r="G79" s="191"/>
      <c r="H79" s="191"/>
    </row>
    <row r="80" spans="1:8" x14ac:dyDescent="0.25">
      <c r="A80" s="189"/>
      <c r="B80" s="190"/>
      <c r="C80" s="191"/>
      <c r="D80" s="191"/>
      <c r="E80" s="191"/>
      <c r="F80" s="191"/>
      <c r="G80" s="191"/>
      <c r="H80" s="191"/>
    </row>
    <row r="81" spans="1:8" x14ac:dyDescent="0.25">
      <c r="A81" s="189"/>
      <c r="B81" s="190"/>
      <c r="C81" s="191"/>
      <c r="D81" s="191"/>
      <c r="E81" s="191"/>
      <c r="F81" s="191"/>
      <c r="G81" s="191"/>
      <c r="H81" s="191"/>
    </row>
    <row r="82" spans="1:8" x14ac:dyDescent="0.25">
      <c r="A82" s="189"/>
      <c r="B82" s="190"/>
      <c r="C82" s="191"/>
      <c r="D82" s="191"/>
      <c r="E82" s="191"/>
      <c r="F82" s="191"/>
      <c r="G82" s="191"/>
      <c r="H82" s="191"/>
    </row>
    <row r="83" spans="1:8" x14ac:dyDescent="0.25">
      <c r="A83" s="189"/>
      <c r="B83" s="190"/>
      <c r="C83" s="191"/>
      <c r="D83" s="191"/>
      <c r="E83" s="191"/>
      <c r="F83" s="191"/>
      <c r="G83" s="191"/>
      <c r="H83" s="191"/>
    </row>
    <row r="84" spans="1:8" x14ac:dyDescent="0.25">
      <c r="A84" s="189"/>
      <c r="B84" s="190"/>
      <c r="C84" s="191"/>
      <c r="D84" s="191"/>
      <c r="E84" s="191"/>
      <c r="F84" s="191"/>
      <c r="G84" s="191"/>
      <c r="H84" s="191"/>
    </row>
    <row r="85" spans="1:8" x14ac:dyDescent="0.25">
      <c r="A85" s="189"/>
      <c r="B85" s="190"/>
      <c r="C85" s="191"/>
      <c r="D85" s="191"/>
      <c r="E85" s="191"/>
      <c r="F85" s="191"/>
      <c r="G85" s="191"/>
      <c r="H85" s="191"/>
    </row>
    <row r="86" spans="1:8" x14ac:dyDescent="0.25">
      <c r="A86" s="189"/>
      <c r="B86" s="190"/>
      <c r="C86" s="191"/>
      <c r="D86" s="191"/>
      <c r="E86" s="191"/>
      <c r="F86" s="191"/>
      <c r="G86" s="191"/>
      <c r="H86" s="191"/>
    </row>
    <row r="87" spans="1:8" x14ac:dyDescent="0.25">
      <c r="A87" s="189"/>
      <c r="B87" s="190"/>
      <c r="C87" s="191"/>
      <c r="D87" s="191"/>
      <c r="E87" s="191"/>
      <c r="F87" s="191"/>
      <c r="G87" s="191"/>
      <c r="H87" s="191"/>
    </row>
    <row r="88" spans="1:8" x14ac:dyDescent="0.25">
      <c r="A88" s="189"/>
      <c r="B88" s="190"/>
      <c r="C88" s="191"/>
      <c r="D88" s="191"/>
      <c r="E88" s="191"/>
      <c r="F88" s="191"/>
      <c r="G88" s="191"/>
      <c r="H88" s="191"/>
    </row>
    <row r="89" spans="1:8" x14ac:dyDescent="0.25">
      <c r="A89" s="189"/>
      <c r="B89" s="190"/>
      <c r="C89" s="191"/>
      <c r="D89" s="191"/>
      <c r="E89" s="191"/>
      <c r="F89" s="191"/>
      <c r="G89" s="191"/>
      <c r="H89" s="191"/>
    </row>
    <row r="90" spans="1:8" x14ac:dyDescent="0.25">
      <c r="A90" s="189"/>
      <c r="B90" s="190"/>
      <c r="C90" s="191"/>
      <c r="D90" s="191"/>
      <c r="E90" s="191"/>
      <c r="F90" s="191"/>
      <c r="G90" s="191"/>
      <c r="H90" s="191"/>
    </row>
    <row r="91" spans="1:8" x14ac:dyDescent="0.25">
      <c r="A91" s="189"/>
      <c r="B91" s="190"/>
      <c r="C91" s="191"/>
      <c r="D91" s="191"/>
      <c r="E91" s="191"/>
      <c r="F91" s="191"/>
      <c r="G91" s="191"/>
      <c r="H91" s="191"/>
    </row>
    <row r="92" spans="1:8" x14ac:dyDescent="0.25">
      <c r="A92" s="189"/>
      <c r="B92" s="190"/>
      <c r="C92" s="191"/>
      <c r="D92" s="191"/>
      <c r="E92" s="191"/>
      <c r="F92" s="191"/>
      <c r="G92" s="191"/>
      <c r="H92" s="191"/>
    </row>
    <row r="93" spans="1:8" x14ac:dyDescent="0.25">
      <c r="A93" s="189"/>
      <c r="B93" s="190"/>
      <c r="C93" s="191"/>
      <c r="D93" s="191"/>
      <c r="E93" s="191"/>
      <c r="F93" s="191"/>
      <c r="G93" s="191"/>
      <c r="H93" s="191"/>
    </row>
    <row r="94" spans="1:8" x14ac:dyDescent="0.25">
      <c r="A94" s="189"/>
      <c r="B94" s="190"/>
      <c r="C94" s="191"/>
      <c r="D94" s="191"/>
      <c r="E94" s="191"/>
      <c r="F94" s="191"/>
      <c r="G94" s="191"/>
      <c r="H94" s="191"/>
    </row>
    <row r="95" spans="1:8" x14ac:dyDescent="0.25">
      <c r="A95" s="189"/>
      <c r="B95" s="190"/>
      <c r="C95" s="191"/>
      <c r="D95" s="191"/>
      <c r="E95" s="191"/>
      <c r="F95" s="191"/>
      <c r="G95" s="191"/>
      <c r="H95" s="191"/>
    </row>
  </sheetData>
  <mergeCells count="43">
    <mergeCell ref="I1:J1"/>
    <mergeCell ref="R1:S1"/>
    <mergeCell ref="A2:S2"/>
    <mergeCell ref="A3:A4"/>
    <mergeCell ref="B3:B4"/>
    <mergeCell ref="C3:C4"/>
    <mergeCell ref="D3:G3"/>
    <mergeCell ref="H3:R3"/>
    <mergeCell ref="S3:S4"/>
    <mergeCell ref="A5:S5"/>
    <mergeCell ref="A6:S6"/>
    <mergeCell ref="A7:A15"/>
    <mergeCell ref="B7:B15"/>
    <mergeCell ref="C7:C15"/>
    <mergeCell ref="S7:S8"/>
    <mergeCell ref="A17:A24"/>
    <mergeCell ref="B17:B24"/>
    <mergeCell ref="C17:C24"/>
    <mergeCell ref="S17:S24"/>
    <mergeCell ref="A25:A36"/>
    <mergeCell ref="B25:B36"/>
    <mergeCell ref="C25:C36"/>
    <mergeCell ref="S25:S46"/>
    <mergeCell ref="A37:A45"/>
    <mergeCell ref="B37:B45"/>
    <mergeCell ref="S51:S53"/>
    <mergeCell ref="A54:B54"/>
    <mergeCell ref="A55:B55"/>
    <mergeCell ref="C37:C45"/>
    <mergeCell ref="A46:B46"/>
    <mergeCell ref="A47:S47"/>
    <mergeCell ref="A48:A50"/>
    <mergeCell ref="B48:B50"/>
    <mergeCell ref="C48:C50"/>
    <mergeCell ref="D48:D50"/>
    <mergeCell ref="E48:E50"/>
    <mergeCell ref="S48:S50"/>
    <mergeCell ref="A56:B56"/>
    <mergeCell ref="A57:B57"/>
    <mergeCell ref="A58:C58"/>
    <mergeCell ref="A51:A53"/>
    <mergeCell ref="B51:B53"/>
    <mergeCell ref="C51:C53"/>
  </mergeCells>
  <pageMargins left="0.31496062992125984" right="0.31496062992125984" top="0.15748031496062992" bottom="0.15748031496062992" header="0" footer="0"/>
  <pageSetup paperSize="9" scale="29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C137"/>
  <sheetViews>
    <sheetView view="pageBreakPreview" topLeftCell="G1" zoomScaleNormal="100" zoomScaleSheetLayoutView="100" workbookViewId="0">
      <selection activeCell="J5" sqref="J5"/>
    </sheetView>
  </sheetViews>
  <sheetFormatPr defaultColWidth="9.28515625" defaultRowHeight="15" x14ac:dyDescent="0.2"/>
  <cols>
    <col min="1" max="1" width="18.42578125" style="39" customWidth="1"/>
    <col min="2" max="2" width="24.85546875" style="39" customWidth="1"/>
    <col min="3" max="3" width="30.140625" style="39" customWidth="1"/>
    <col min="4" max="4" width="13.42578125" style="39" customWidth="1"/>
    <col min="5" max="14" width="16" style="39" customWidth="1"/>
    <col min="15" max="16384" width="9.28515625" style="39"/>
  </cols>
  <sheetData>
    <row r="1" spans="1:29" ht="72" customHeight="1" x14ac:dyDescent="0.25">
      <c r="K1" s="375" t="s">
        <v>35</v>
      </c>
      <c r="L1" s="375"/>
      <c r="M1" s="375"/>
      <c r="N1" s="375"/>
      <c r="O1" s="375"/>
      <c r="P1" s="375"/>
      <c r="R1" s="36"/>
      <c r="S1" s="36"/>
      <c r="U1" s="40"/>
      <c r="V1" s="40"/>
      <c r="W1" s="40"/>
      <c r="X1" s="375"/>
      <c r="Y1" s="375"/>
      <c r="Z1" s="375"/>
      <c r="AA1" s="375"/>
      <c r="AB1" s="375"/>
      <c r="AC1" s="375"/>
    </row>
    <row r="2" spans="1:29" ht="55.5" customHeight="1" x14ac:dyDescent="0.2">
      <c r="A2" s="376" t="s">
        <v>36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</row>
    <row r="3" spans="1:29" ht="33.75" customHeight="1" x14ac:dyDescent="0.2">
      <c r="A3" s="359" t="s">
        <v>37</v>
      </c>
      <c r="B3" s="366" t="s">
        <v>38</v>
      </c>
      <c r="C3" s="377" t="s">
        <v>39</v>
      </c>
      <c r="D3" s="379" t="s">
        <v>40</v>
      </c>
      <c r="E3" s="379"/>
      <c r="F3" s="379"/>
      <c r="G3" s="379"/>
      <c r="H3" s="379"/>
      <c r="I3" s="379"/>
      <c r="J3" s="379"/>
      <c r="K3" s="379"/>
      <c r="L3" s="379"/>
      <c r="M3" s="379"/>
      <c r="N3" s="379"/>
    </row>
    <row r="4" spans="1:29" ht="36" customHeight="1" x14ac:dyDescent="0.2">
      <c r="A4" s="359"/>
      <c r="B4" s="366"/>
      <c r="C4" s="378"/>
      <c r="D4" s="41" t="s">
        <v>41</v>
      </c>
      <c r="E4" s="41" t="s">
        <v>42</v>
      </c>
      <c r="F4" s="41" t="s">
        <v>43</v>
      </c>
      <c r="G4" s="42" t="s">
        <v>44</v>
      </c>
      <c r="H4" s="41" t="s">
        <v>45</v>
      </c>
      <c r="I4" s="41" t="s">
        <v>46</v>
      </c>
      <c r="J4" s="41" t="s">
        <v>47</v>
      </c>
      <c r="K4" s="41" t="s">
        <v>48</v>
      </c>
      <c r="L4" s="41" t="s">
        <v>49</v>
      </c>
      <c r="M4" s="41" t="s">
        <v>50</v>
      </c>
      <c r="N4" s="41" t="s">
        <v>11</v>
      </c>
    </row>
    <row r="5" spans="1:29" ht="15.75" customHeight="1" x14ac:dyDescent="0.2">
      <c r="A5" s="354" t="s">
        <v>12</v>
      </c>
      <c r="B5" s="356" t="s">
        <v>13</v>
      </c>
      <c r="C5" s="43" t="s">
        <v>51</v>
      </c>
      <c r="D5" s="44">
        <f t="shared" ref="D5:I5" si="0">D8+D9+D10</f>
        <v>447829.60000000003</v>
      </c>
      <c r="E5" s="44">
        <f t="shared" si="0"/>
        <v>473625.59999999998</v>
      </c>
      <c r="F5" s="44">
        <f t="shared" si="0"/>
        <v>511729.69999999995</v>
      </c>
      <c r="G5" s="45">
        <f t="shared" si="0"/>
        <v>523228.00000000006</v>
      </c>
      <c r="H5" s="45">
        <f>H8+H9+H10</f>
        <v>549349</v>
      </c>
      <c r="I5" s="44">
        <f t="shared" si="0"/>
        <v>614389.6</v>
      </c>
      <c r="J5" s="46">
        <f>J8+J9+J10+J7</f>
        <v>610695.4</v>
      </c>
      <c r="K5" s="46">
        <f>K8+K9+K10+K7</f>
        <v>613702.69999999995</v>
      </c>
      <c r="L5" s="46">
        <f>L8+L9+L10+L7</f>
        <v>603093.5</v>
      </c>
      <c r="M5" s="46">
        <f>M8+M9+M10+M7</f>
        <v>603093.5</v>
      </c>
      <c r="N5" s="46">
        <f>N8+N9+N10+N7</f>
        <v>5550736.5999999996</v>
      </c>
    </row>
    <row r="6" spans="1:29" ht="15.75" x14ac:dyDescent="0.2">
      <c r="A6" s="355"/>
      <c r="B6" s="357"/>
      <c r="C6" s="47" t="s">
        <v>52</v>
      </c>
      <c r="D6" s="48"/>
      <c r="E6" s="49"/>
      <c r="F6" s="49"/>
      <c r="G6" s="50"/>
      <c r="H6" s="50"/>
      <c r="I6" s="49"/>
      <c r="J6" s="49"/>
      <c r="K6" s="49"/>
      <c r="L6" s="44"/>
      <c r="M6" s="44"/>
      <c r="N6" s="44"/>
    </row>
    <row r="7" spans="1:29" ht="15.75" x14ac:dyDescent="0.2">
      <c r="A7" s="355"/>
      <c r="B7" s="357"/>
      <c r="C7" s="51" t="s">
        <v>53</v>
      </c>
      <c r="D7" s="48"/>
      <c r="E7" s="49"/>
      <c r="F7" s="49"/>
      <c r="G7" s="50"/>
      <c r="H7" s="50"/>
      <c r="I7" s="49"/>
      <c r="J7" s="52">
        <f>J18</f>
        <v>13486.5</v>
      </c>
      <c r="K7" s="52">
        <f>K18</f>
        <v>22845.599999999999</v>
      </c>
      <c r="L7" s="52">
        <f>L18</f>
        <v>21017.3</v>
      </c>
      <c r="M7" s="52">
        <f>M18</f>
        <v>21017.3</v>
      </c>
      <c r="N7" s="52">
        <f>N18</f>
        <v>78366.7</v>
      </c>
    </row>
    <row r="8" spans="1:29" ht="15.75" customHeight="1" x14ac:dyDescent="0.2">
      <c r="A8" s="355"/>
      <c r="B8" s="357"/>
      <c r="C8" s="51" t="s">
        <v>54</v>
      </c>
      <c r="D8" s="44">
        <f t="shared" ref="D8:M10" si="1">D13+D19+D24+D29</f>
        <v>215148.1</v>
      </c>
      <c r="E8" s="44">
        <f t="shared" si="1"/>
        <v>208367.5</v>
      </c>
      <c r="F8" s="44">
        <f t="shared" si="1"/>
        <v>280623.8</v>
      </c>
      <c r="G8" s="45">
        <f t="shared" si="1"/>
        <v>301525.8</v>
      </c>
      <c r="H8" s="45">
        <f t="shared" si="1"/>
        <v>326259.80000000005</v>
      </c>
      <c r="I8" s="44">
        <f t="shared" si="1"/>
        <v>354583.9</v>
      </c>
      <c r="J8" s="46">
        <f t="shared" si="1"/>
        <v>372852.7</v>
      </c>
      <c r="K8" s="46">
        <f t="shared" si="1"/>
        <v>364127.5</v>
      </c>
      <c r="L8" s="46">
        <f t="shared" si="1"/>
        <v>355660.5</v>
      </c>
      <c r="M8" s="46">
        <f t="shared" si="1"/>
        <v>355660.5</v>
      </c>
      <c r="N8" s="46">
        <f>SUM(D8:M8)</f>
        <v>3134810.0999999996</v>
      </c>
    </row>
    <row r="9" spans="1:29" ht="15.75" x14ac:dyDescent="0.2">
      <c r="A9" s="355"/>
      <c r="B9" s="357"/>
      <c r="C9" s="51" t="s">
        <v>55</v>
      </c>
      <c r="D9" s="44">
        <f t="shared" si="1"/>
        <v>217161.60000000001</v>
      </c>
      <c r="E9" s="44">
        <f t="shared" si="1"/>
        <v>249957.8</v>
      </c>
      <c r="F9" s="44">
        <f t="shared" si="1"/>
        <v>211534.09999999998</v>
      </c>
      <c r="G9" s="45">
        <f t="shared" si="1"/>
        <v>199302.50000000003</v>
      </c>
      <c r="H9" s="45">
        <f t="shared" si="1"/>
        <v>198036.09999999998</v>
      </c>
      <c r="I9" s="44">
        <f t="shared" si="1"/>
        <v>232969.00000000003</v>
      </c>
      <c r="J9" s="46">
        <f t="shared" si="1"/>
        <v>202662.6</v>
      </c>
      <c r="K9" s="46">
        <f t="shared" si="1"/>
        <v>200890.4</v>
      </c>
      <c r="L9" s="46">
        <f t="shared" si="1"/>
        <v>200576.5</v>
      </c>
      <c r="M9" s="46">
        <f t="shared" si="1"/>
        <v>200576.5</v>
      </c>
      <c r="N9" s="46">
        <f>SUM(D9:M9)</f>
        <v>2113667.1</v>
      </c>
    </row>
    <row r="10" spans="1:29" ht="15" customHeight="1" x14ac:dyDescent="0.2">
      <c r="A10" s="373"/>
      <c r="B10" s="358"/>
      <c r="C10" s="51" t="s">
        <v>56</v>
      </c>
      <c r="D10" s="44">
        <f t="shared" si="1"/>
        <v>15519.9</v>
      </c>
      <c r="E10" s="44">
        <f t="shared" si="1"/>
        <v>15300.3</v>
      </c>
      <c r="F10" s="44">
        <f t="shared" si="1"/>
        <v>19571.8</v>
      </c>
      <c r="G10" s="45">
        <f t="shared" si="1"/>
        <v>22399.7</v>
      </c>
      <c r="H10" s="45">
        <f t="shared" si="1"/>
        <v>25053.100000000002</v>
      </c>
      <c r="I10" s="44">
        <f t="shared" si="1"/>
        <v>26836.7</v>
      </c>
      <c r="J10" s="44">
        <f t="shared" si="1"/>
        <v>21693.599999999999</v>
      </c>
      <c r="K10" s="44">
        <f t="shared" si="1"/>
        <v>25839.200000000001</v>
      </c>
      <c r="L10" s="44">
        <f>K10</f>
        <v>25839.200000000001</v>
      </c>
      <c r="M10" s="44">
        <f>L10</f>
        <v>25839.200000000001</v>
      </c>
      <c r="N10" s="44">
        <f t="shared" ref="N10:N31" si="2">SUM(D10:M10)</f>
        <v>223892.70000000004</v>
      </c>
    </row>
    <row r="11" spans="1:29" ht="15.75" customHeight="1" x14ac:dyDescent="0.2">
      <c r="A11" s="354" t="s">
        <v>57</v>
      </c>
      <c r="B11" s="356" t="s">
        <v>24</v>
      </c>
      <c r="C11" s="43" t="s">
        <v>51</v>
      </c>
      <c r="D11" s="44">
        <f t="shared" ref="D11:J11" si="3">D13+D14+D15</f>
        <v>198091.59999999998</v>
      </c>
      <c r="E11" s="44">
        <f t="shared" si="3"/>
        <v>204824.59999999998</v>
      </c>
      <c r="F11" s="44">
        <f t="shared" si="3"/>
        <v>219030.5</v>
      </c>
      <c r="G11" s="45">
        <f t="shared" si="3"/>
        <v>218633.1</v>
      </c>
      <c r="H11" s="45">
        <f t="shared" si="3"/>
        <v>229336.9</v>
      </c>
      <c r="I11" s="44">
        <f t="shared" si="3"/>
        <v>267495.40000000002</v>
      </c>
      <c r="J11" s="46">
        <f t="shared" si="3"/>
        <v>272269.7</v>
      </c>
      <c r="K11" s="46">
        <f>K13+K14+K15</f>
        <v>270838.39999999997</v>
      </c>
      <c r="L11" s="46">
        <f>K11</f>
        <v>270838.39999999997</v>
      </c>
      <c r="M11" s="46">
        <f>L11</f>
        <v>270838.39999999997</v>
      </c>
      <c r="N11" s="46">
        <f t="shared" si="2"/>
        <v>2422197</v>
      </c>
    </row>
    <row r="12" spans="1:29" ht="15.75" x14ac:dyDescent="0.2">
      <c r="A12" s="355"/>
      <c r="B12" s="357"/>
      <c r="C12" s="47" t="s">
        <v>52</v>
      </c>
      <c r="D12" s="48"/>
      <c r="E12" s="44"/>
      <c r="F12" s="49"/>
      <c r="G12" s="50"/>
      <c r="H12" s="50"/>
      <c r="I12" s="49"/>
      <c r="J12" s="49"/>
      <c r="K12" s="49"/>
      <c r="L12" s="44">
        <f>K12</f>
        <v>0</v>
      </c>
      <c r="M12" s="44"/>
      <c r="N12" s="44">
        <f t="shared" si="2"/>
        <v>0</v>
      </c>
    </row>
    <row r="13" spans="1:29" ht="15.75" x14ac:dyDescent="0.2">
      <c r="A13" s="355"/>
      <c r="B13" s="357"/>
      <c r="C13" s="53" t="s">
        <v>58</v>
      </c>
      <c r="D13" s="54">
        <v>92552.9</v>
      </c>
      <c r="E13" s="44">
        <v>81485.8</v>
      </c>
      <c r="F13" s="49">
        <v>116158.7</v>
      </c>
      <c r="G13" s="50">
        <v>122752.3</v>
      </c>
      <c r="H13" s="50">
        <v>129296.8</v>
      </c>
      <c r="I13" s="49">
        <v>147632</v>
      </c>
      <c r="J13" s="49">
        <v>167024.9</v>
      </c>
      <c r="K13" s="49">
        <v>159606.79999999999</v>
      </c>
      <c r="L13" s="49">
        <v>159606.79999999999</v>
      </c>
      <c r="M13" s="49">
        <f>L13</f>
        <v>159606.79999999999</v>
      </c>
      <c r="N13" s="44">
        <f t="shared" si="2"/>
        <v>1335723.8</v>
      </c>
    </row>
    <row r="14" spans="1:29" ht="15.75" x14ac:dyDescent="0.2">
      <c r="A14" s="355"/>
      <c r="B14" s="357"/>
      <c r="C14" s="53" t="s">
        <v>59</v>
      </c>
      <c r="D14" s="54">
        <v>92376.4</v>
      </c>
      <c r="E14" s="44">
        <v>110895</v>
      </c>
      <c r="F14" s="44">
        <v>86284.2</v>
      </c>
      <c r="G14" s="45">
        <v>76465.3</v>
      </c>
      <c r="H14" s="45">
        <v>78788.7</v>
      </c>
      <c r="I14" s="44">
        <v>99489.9</v>
      </c>
      <c r="J14" s="44">
        <v>90280.1</v>
      </c>
      <c r="K14" s="44">
        <v>88831.4</v>
      </c>
      <c r="L14" s="44">
        <v>88831.3</v>
      </c>
      <c r="M14" s="49">
        <f>L14</f>
        <v>88831.3</v>
      </c>
      <c r="N14" s="44">
        <f t="shared" si="2"/>
        <v>901073.60000000009</v>
      </c>
    </row>
    <row r="15" spans="1:29" ht="31.5" x14ac:dyDescent="0.2">
      <c r="A15" s="373"/>
      <c r="B15" s="358"/>
      <c r="C15" s="53" t="s">
        <v>60</v>
      </c>
      <c r="D15" s="54">
        <v>13162.3</v>
      </c>
      <c r="E15" s="44">
        <v>12443.8</v>
      </c>
      <c r="F15" s="49">
        <v>16587.599999999999</v>
      </c>
      <c r="G15" s="50">
        <v>19415.5</v>
      </c>
      <c r="H15" s="50">
        <v>21251.4</v>
      </c>
      <c r="I15" s="49">
        <v>20373.5</v>
      </c>
      <c r="J15" s="49">
        <v>14964.7</v>
      </c>
      <c r="K15" s="49">
        <v>22400.2</v>
      </c>
      <c r="L15" s="49">
        <v>22400.2</v>
      </c>
      <c r="M15" s="49">
        <f>L15</f>
        <v>22400.2</v>
      </c>
      <c r="N15" s="44">
        <f t="shared" si="2"/>
        <v>185399.40000000002</v>
      </c>
    </row>
    <row r="16" spans="1:29" ht="15.75" customHeight="1" x14ac:dyDescent="0.2">
      <c r="A16" s="354" t="s">
        <v>61</v>
      </c>
      <c r="B16" s="356" t="s">
        <v>28</v>
      </c>
      <c r="C16" s="43" t="s">
        <v>51</v>
      </c>
      <c r="D16" s="44">
        <f t="shared" ref="D16:I16" si="4">D19+D20+D21</f>
        <v>214621.9</v>
      </c>
      <c r="E16" s="44">
        <f t="shared" si="4"/>
        <v>231479.09999999998</v>
      </c>
      <c r="F16" s="44">
        <f t="shared" si="4"/>
        <v>252889.59999999998</v>
      </c>
      <c r="G16" s="45">
        <f t="shared" si="4"/>
        <v>262736.60000000003</v>
      </c>
      <c r="H16" s="45">
        <f t="shared" si="4"/>
        <v>275850</v>
      </c>
      <c r="I16" s="44">
        <f t="shared" si="4"/>
        <v>294091.2</v>
      </c>
      <c r="J16" s="46">
        <f>J19+J20+J21+J18</f>
        <v>294528.80000000005</v>
      </c>
      <c r="K16" s="46">
        <f>K19+K20+K21+K18</f>
        <v>289315.89999999997</v>
      </c>
      <c r="L16" s="46">
        <f>L19+L20+L21+L18</f>
        <v>281762.8</v>
      </c>
      <c r="M16" s="46">
        <f>M19+M20+M21+M18</f>
        <v>281762.8</v>
      </c>
      <c r="N16" s="46">
        <f t="shared" si="2"/>
        <v>2679038.6999999997</v>
      </c>
    </row>
    <row r="17" spans="1:15" ht="15.75" x14ac:dyDescent="0.2">
      <c r="A17" s="355"/>
      <c r="B17" s="357"/>
      <c r="C17" s="47" t="s">
        <v>52</v>
      </c>
      <c r="D17" s="48"/>
      <c r="E17" s="49"/>
      <c r="F17" s="49"/>
      <c r="G17" s="50"/>
      <c r="H17" s="50"/>
      <c r="I17" s="49"/>
      <c r="J17" s="49"/>
      <c r="K17" s="49"/>
      <c r="L17" s="44">
        <f>K17</f>
        <v>0</v>
      </c>
      <c r="M17" s="44"/>
      <c r="N17" s="44">
        <f t="shared" si="2"/>
        <v>0</v>
      </c>
    </row>
    <row r="18" spans="1:15" ht="15.75" x14ac:dyDescent="0.2">
      <c r="A18" s="355"/>
      <c r="B18" s="357"/>
      <c r="C18" s="51" t="s">
        <v>53</v>
      </c>
      <c r="D18" s="48"/>
      <c r="E18" s="49"/>
      <c r="F18" s="49"/>
      <c r="G18" s="50"/>
      <c r="H18" s="50"/>
      <c r="I18" s="49"/>
      <c r="J18" s="49">
        <f>2668.9+6082.9+4734.7</f>
        <v>13486.5</v>
      </c>
      <c r="K18" s="49">
        <f>928.3+3668.6+18248.7</f>
        <v>22845.599999999999</v>
      </c>
      <c r="L18" s="44">
        <f>967+1801.6+18248.7</f>
        <v>21017.3</v>
      </c>
      <c r="M18" s="44">
        <f>L18</f>
        <v>21017.3</v>
      </c>
      <c r="N18" s="44">
        <f t="shared" si="2"/>
        <v>78366.7</v>
      </c>
    </row>
    <row r="19" spans="1:15" ht="15.75" x14ac:dyDescent="0.2">
      <c r="A19" s="355"/>
      <c r="B19" s="357"/>
      <c r="C19" s="43" t="s">
        <v>62</v>
      </c>
      <c r="D19" s="54">
        <v>109406.9</v>
      </c>
      <c r="E19" s="44">
        <v>113565.8</v>
      </c>
      <c r="F19" s="49">
        <v>149314.1</v>
      </c>
      <c r="G19" s="50">
        <v>163921.20000000001</v>
      </c>
      <c r="H19" s="50">
        <v>178896.1</v>
      </c>
      <c r="I19" s="49">
        <v>189252.9</v>
      </c>
      <c r="J19" s="49">
        <v>199964</v>
      </c>
      <c r="K19" s="49">
        <v>190052.3</v>
      </c>
      <c r="L19" s="44">
        <v>184641.3</v>
      </c>
      <c r="M19" s="44">
        <f>L19</f>
        <v>184641.3</v>
      </c>
      <c r="N19" s="44">
        <f t="shared" si="2"/>
        <v>1663655.9000000001</v>
      </c>
    </row>
    <row r="20" spans="1:15" ht="15.75" x14ac:dyDescent="0.2">
      <c r="A20" s="355"/>
      <c r="B20" s="357"/>
      <c r="C20" s="43" t="s">
        <v>63</v>
      </c>
      <c r="D20" s="54">
        <v>103390.39999999999</v>
      </c>
      <c r="E20" s="44">
        <v>115762</v>
      </c>
      <c r="F20" s="44">
        <v>101282.7</v>
      </c>
      <c r="G20" s="45">
        <v>96522.6</v>
      </c>
      <c r="H20" s="45">
        <v>93843.6</v>
      </c>
      <c r="I20" s="44">
        <v>99156.3</v>
      </c>
      <c r="J20" s="44">
        <v>74349.399999999994</v>
      </c>
      <c r="K20" s="44">
        <v>72979</v>
      </c>
      <c r="L20" s="44">
        <v>72665.2</v>
      </c>
      <c r="M20" s="44">
        <f>L20</f>
        <v>72665.2</v>
      </c>
      <c r="N20" s="44">
        <f t="shared" si="2"/>
        <v>902616.39999999991</v>
      </c>
    </row>
    <row r="21" spans="1:15" ht="15.75" x14ac:dyDescent="0.2">
      <c r="A21" s="373"/>
      <c r="B21" s="358"/>
      <c r="C21" s="43" t="s">
        <v>64</v>
      </c>
      <c r="D21" s="54">
        <v>1824.6</v>
      </c>
      <c r="E21" s="44">
        <v>2151.3000000000002</v>
      </c>
      <c r="F21" s="49">
        <v>2292.8000000000002</v>
      </c>
      <c r="G21" s="50">
        <v>2292.8000000000002</v>
      </c>
      <c r="H21" s="50">
        <v>3110.3</v>
      </c>
      <c r="I21" s="49">
        <v>5682</v>
      </c>
      <c r="J21" s="49">
        <v>6728.9</v>
      </c>
      <c r="K21" s="49">
        <v>3439</v>
      </c>
      <c r="L21" s="44">
        <v>3439</v>
      </c>
      <c r="M21" s="44">
        <f>L21</f>
        <v>3439</v>
      </c>
      <c r="N21" s="44">
        <f t="shared" si="2"/>
        <v>34399.699999999997</v>
      </c>
    </row>
    <row r="22" spans="1:15" ht="15.75" customHeight="1" x14ac:dyDescent="0.2">
      <c r="A22" s="354" t="s">
        <v>29</v>
      </c>
      <c r="B22" s="356" t="s">
        <v>30</v>
      </c>
      <c r="C22" s="43" t="s">
        <v>51</v>
      </c>
      <c r="D22" s="44">
        <f t="shared" ref="D22:I22" si="5">D24+D25+D26</f>
        <v>6990.7000000000007</v>
      </c>
      <c r="E22" s="44">
        <f t="shared" si="5"/>
        <v>7764.9</v>
      </c>
      <c r="F22" s="44">
        <f t="shared" si="5"/>
        <v>7414.4</v>
      </c>
      <c r="G22" s="45">
        <f t="shared" si="5"/>
        <v>8058.2999999999993</v>
      </c>
      <c r="H22" s="45">
        <f>H24+H25+H26</f>
        <v>7980.7999999999993</v>
      </c>
      <c r="I22" s="44">
        <f t="shared" si="5"/>
        <v>8394.1</v>
      </c>
      <c r="J22" s="46">
        <f>J24+J25+J26</f>
        <v>1637.8</v>
      </c>
      <c r="K22" s="46">
        <f>K24+K25+K26</f>
        <v>7628.7999999999993</v>
      </c>
      <c r="L22" s="46">
        <f>K22</f>
        <v>7628.7999999999993</v>
      </c>
      <c r="M22" s="46">
        <f>L22</f>
        <v>7628.7999999999993</v>
      </c>
      <c r="N22" s="46">
        <f t="shared" si="2"/>
        <v>71127.400000000009</v>
      </c>
    </row>
    <row r="23" spans="1:15" ht="15.75" x14ac:dyDescent="0.2">
      <c r="A23" s="355"/>
      <c r="B23" s="357"/>
      <c r="C23" s="47" t="s">
        <v>52</v>
      </c>
      <c r="D23" s="54"/>
      <c r="E23" s="44"/>
      <c r="F23" s="49"/>
      <c r="G23" s="50"/>
      <c r="H23" s="50"/>
      <c r="I23" s="49"/>
      <c r="J23" s="49"/>
      <c r="K23" s="49"/>
      <c r="L23" s="44">
        <f>K23</f>
        <v>0</v>
      </c>
      <c r="M23" s="44"/>
      <c r="N23" s="44">
        <f t="shared" si="2"/>
        <v>0</v>
      </c>
    </row>
    <row r="24" spans="1:15" ht="15.75" x14ac:dyDescent="0.2">
      <c r="A24" s="355"/>
      <c r="B24" s="357"/>
      <c r="C24" s="51" t="s">
        <v>54</v>
      </c>
      <c r="D24" s="54">
        <v>4599.6000000000004</v>
      </c>
      <c r="E24" s="44">
        <v>4788.3999999999996</v>
      </c>
      <c r="F24" s="49">
        <v>4560.6000000000004</v>
      </c>
      <c r="G24" s="50">
        <v>4565.7</v>
      </c>
      <c r="H24" s="50">
        <v>5116.3999999999996</v>
      </c>
      <c r="I24" s="49">
        <v>5258.7</v>
      </c>
      <c r="J24" s="49">
        <v>1637.8</v>
      </c>
      <c r="K24" s="49">
        <v>5927.4</v>
      </c>
      <c r="L24" s="49">
        <v>5927.4</v>
      </c>
      <c r="M24" s="49">
        <f>L24</f>
        <v>5927.4</v>
      </c>
      <c r="N24" s="44">
        <f t="shared" si="2"/>
        <v>48309.4</v>
      </c>
    </row>
    <row r="25" spans="1:15" ht="15.75" x14ac:dyDescent="0.2">
      <c r="A25" s="355"/>
      <c r="B25" s="357"/>
      <c r="C25" s="51" t="s">
        <v>55</v>
      </c>
      <c r="D25" s="54">
        <v>1858.1</v>
      </c>
      <c r="E25" s="44">
        <v>2271.3000000000002</v>
      </c>
      <c r="F25" s="44">
        <v>2162.4</v>
      </c>
      <c r="G25" s="45">
        <v>2801.2</v>
      </c>
      <c r="H25" s="45">
        <v>2173</v>
      </c>
      <c r="I25" s="44">
        <v>2354.1999999999998</v>
      </c>
      <c r="J25" s="44">
        <v>0</v>
      </c>
      <c r="K25" s="44">
        <v>1701.4</v>
      </c>
      <c r="L25" s="44">
        <f>K25</f>
        <v>1701.4</v>
      </c>
      <c r="M25" s="49">
        <f>L25</f>
        <v>1701.4</v>
      </c>
      <c r="N25" s="44">
        <f t="shared" si="2"/>
        <v>18724.400000000001</v>
      </c>
    </row>
    <row r="26" spans="1:15" ht="31.5" x14ac:dyDescent="0.2">
      <c r="A26" s="373"/>
      <c r="B26" s="358"/>
      <c r="C26" s="51" t="s">
        <v>56</v>
      </c>
      <c r="D26" s="54">
        <v>533</v>
      </c>
      <c r="E26" s="44">
        <v>705.2</v>
      </c>
      <c r="F26" s="49">
        <v>691.4</v>
      </c>
      <c r="G26" s="50">
        <v>691.4</v>
      </c>
      <c r="H26" s="50">
        <v>691.4</v>
      </c>
      <c r="I26" s="49">
        <v>781.2</v>
      </c>
      <c r="J26" s="49">
        <v>0</v>
      </c>
      <c r="K26" s="49">
        <v>0</v>
      </c>
      <c r="L26" s="49">
        <v>0</v>
      </c>
      <c r="M26" s="49">
        <f>L26</f>
        <v>0</v>
      </c>
      <c r="N26" s="44">
        <f t="shared" si="2"/>
        <v>4093.6000000000004</v>
      </c>
    </row>
    <row r="27" spans="1:15" ht="15.75" customHeight="1" x14ac:dyDescent="0.2">
      <c r="A27" s="354" t="s">
        <v>31</v>
      </c>
      <c r="B27" s="356" t="s">
        <v>32</v>
      </c>
      <c r="C27" s="43" t="s">
        <v>51</v>
      </c>
      <c r="D27" s="44">
        <f t="shared" ref="D27:I27" si="6">D29+D30+D31</f>
        <v>28125.4</v>
      </c>
      <c r="E27" s="44">
        <f t="shared" si="6"/>
        <v>29557</v>
      </c>
      <c r="F27" s="44">
        <f t="shared" si="6"/>
        <v>32395.199999999997</v>
      </c>
      <c r="G27" s="45">
        <f t="shared" si="6"/>
        <v>33800</v>
      </c>
      <c r="H27" s="45">
        <f t="shared" si="6"/>
        <v>36181.300000000003</v>
      </c>
      <c r="I27" s="44">
        <f t="shared" si="6"/>
        <v>44408.899999999994</v>
      </c>
      <c r="J27" s="46">
        <f>J29+J30+J31</f>
        <v>42259.1</v>
      </c>
      <c r="K27" s="46">
        <f>K29+K30+K31</f>
        <v>45919.6</v>
      </c>
      <c r="L27" s="46">
        <f>L28+L29+L30</f>
        <v>42863.6</v>
      </c>
      <c r="M27" s="46">
        <f>M28+M29+M30</f>
        <v>42863.6</v>
      </c>
      <c r="N27" s="46">
        <f t="shared" si="2"/>
        <v>378373.69999999995</v>
      </c>
    </row>
    <row r="28" spans="1:15" ht="15.75" x14ac:dyDescent="0.2">
      <c r="A28" s="355"/>
      <c r="B28" s="357"/>
      <c r="C28" s="47" t="s">
        <v>52</v>
      </c>
      <c r="D28" s="54"/>
      <c r="E28" s="44"/>
      <c r="F28" s="49"/>
      <c r="G28" s="50"/>
      <c r="H28" s="50"/>
      <c r="I28" s="49"/>
      <c r="J28" s="49"/>
      <c r="K28" s="49"/>
      <c r="L28" s="44">
        <f>K28</f>
        <v>0</v>
      </c>
      <c r="M28" s="44"/>
      <c r="N28" s="44">
        <f t="shared" si="2"/>
        <v>0</v>
      </c>
    </row>
    <row r="29" spans="1:15" ht="15.75" x14ac:dyDescent="0.2">
      <c r="A29" s="355"/>
      <c r="B29" s="357"/>
      <c r="C29" s="51" t="s">
        <v>54</v>
      </c>
      <c r="D29" s="54">
        <v>8588.7000000000007</v>
      </c>
      <c r="E29" s="44">
        <v>8527.5</v>
      </c>
      <c r="F29" s="49">
        <v>10590.4</v>
      </c>
      <c r="G29" s="50">
        <v>10286.6</v>
      </c>
      <c r="H29" s="50">
        <v>12950.5</v>
      </c>
      <c r="I29" s="49">
        <v>12440.3</v>
      </c>
      <c r="J29" s="49">
        <v>4226</v>
      </c>
      <c r="K29" s="49">
        <v>8541</v>
      </c>
      <c r="L29" s="44">
        <v>5485</v>
      </c>
      <c r="M29" s="44">
        <f>L29</f>
        <v>5485</v>
      </c>
      <c r="N29" s="44">
        <f t="shared" si="2"/>
        <v>87121</v>
      </c>
    </row>
    <row r="30" spans="1:15" ht="15.75" x14ac:dyDescent="0.2">
      <c r="A30" s="355"/>
      <c r="B30" s="357"/>
      <c r="C30" s="51" t="s">
        <v>55</v>
      </c>
      <c r="D30" s="54">
        <v>19536.7</v>
      </c>
      <c r="E30" s="44">
        <v>21029.5</v>
      </c>
      <c r="F30" s="44">
        <v>21804.799999999999</v>
      </c>
      <c r="G30" s="45">
        <v>23513.4</v>
      </c>
      <c r="H30" s="45">
        <v>23230.799999999999</v>
      </c>
      <c r="I30" s="44">
        <v>31968.6</v>
      </c>
      <c r="J30" s="44">
        <v>38033.1</v>
      </c>
      <c r="K30" s="44">
        <v>37378.6</v>
      </c>
      <c r="L30" s="44">
        <f>K30</f>
        <v>37378.6</v>
      </c>
      <c r="M30" s="44">
        <f>L30</f>
        <v>37378.6</v>
      </c>
      <c r="N30" s="44">
        <f t="shared" si="2"/>
        <v>291252.7</v>
      </c>
    </row>
    <row r="31" spans="1:15" ht="15" customHeight="1" x14ac:dyDescent="0.2">
      <c r="A31" s="373"/>
      <c r="B31" s="358"/>
      <c r="C31" s="51" t="s">
        <v>56</v>
      </c>
      <c r="D31" s="54">
        <v>0</v>
      </c>
      <c r="E31" s="44">
        <v>0</v>
      </c>
      <c r="F31" s="49">
        <v>0</v>
      </c>
      <c r="G31" s="50">
        <v>0</v>
      </c>
      <c r="H31" s="50">
        <v>0</v>
      </c>
      <c r="I31" s="49">
        <v>0</v>
      </c>
      <c r="J31" s="49">
        <v>0</v>
      </c>
      <c r="K31" s="49">
        <v>0</v>
      </c>
      <c r="L31" s="44">
        <f>K31</f>
        <v>0</v>
      </c>
      <c r="M31" s="44">
        <f>L31</f>
        <v>0</v>
      </c>
      <c r="N31" s="44">
        <f t="shared" si="2"/>
        <v>0</v>
      </c>
    </row>
    <row r="32" spans="1:15" s="36" customFormat="1" ht="30.75" customHeight="1" x14ac:dyDescent="0.25">
      <c r="A32" s="55" t="s">
        <v>33</v>
      </c>
      <c r="B32" s="55"/>
      <c r="C32" s="56"/>
      <c r="D32" s="56"/>
      <c r="E32" s="57"/>
      <c r="F32" s="58"/>
      <c r="G32" s="374" t="s">
        <v>34</v>
      </c>
      <c r="H32" s="374"/>
      <c r="I32" s="374"/>
      <c r="J32" s="374"/>
      <c r="K32" s="374"/>
      <c r="L32" s="374"/>
      <c r="M32" s="374"/>
      <c r="N32" s="374"/>
      <c r="O32" s="59"/>
    </row>
    <row r="137" spans="17:17" ht="105" customHeight="1" x14ac:dyDescent="0.25">
      <c r="Q137" s="36"/>
    </row>
  </sheetData>
  <mergeCells count="18">
    <mergeCell ref="K1:P1"/>
    <mergeCell ref="X1:AC1"/>
    <mergeCell ref="A2:N2"/>
    <mergeCell ref="A3:A4"/>
    <mergeCell ref="B3:B4"/>
    <mergeCell ref="C3:C4"/>
    <mergeCell ref="D3:N3"/>
    <mergeCell ref="A5:A10"/>
    <mergeCell ref="B5:B10"/>
    <mergeCell ref="A11:A15"/>
    <mergeCell ref="B11:B15"/>
    <mergeCell ref="A16:A21"/>
    <mergeCell ref="B16:B21"/>
    <mergeCell ref="A22:A26"/>
    <mergeCell ref="B22:B26"/>
    <mergeCell ref="A27:A31"/>
    <mergeCell ref="B27:B31"/>
    <mergeCell ref="G32:N32"/>
  </mergeCells>
  <printOptions horizontalCentered="1"/>
  <pageMargins left="0.15748031496062992" right="0.15748031496062992" top="0.78740157480314965" bottom="0" header="0.31496062992125984" footer="0.31496062992125984"/>
  <pageSetup paperSize="9" scale="59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R35"/>
  <sheetViews>
    <sheetView view="pageBreakPreview" zoomScaleNormal="100" zoomScaleSheetLayoutView="100" workbookViewId="0">
      <selection activeCell="A15" sqref="A15:P15"/>
    </sheetView>
  </sheetViews>
  <sheetFormatPr defaultRowHeight="15.75" x14ac:dyDescent="0.25"/>
  <cols>
    <col min="1" max="1" width="46.42578125" style="1" customWidth="1"/>
    <col min="2" max="2" width="9.140625" style="1" customWidth="1"/>
    <col min="3" max="8" width="9.140625" style="1"/>
    <col min="9" max="9" width="10.28515625" style="1" customWidth="1"/>
    <col min="10" max="10" width="9.5703125" style="1" bestFit="1" customWidth="1"/>
    <col min="11" max="11" width="10.140625" style="1" customWidth="1"/>
    <col min="12" max="12" width="10.7109375" style="1" bestFit="1" customWidth="1"/>
    <col min="13" max="13" width="10.7109375" style="1" customWidth="1"/>
    <col min="14" max="14" width="10.7109375" style="36" customWidth="1"/>
    <col min="15" max="15" width="10.7109375" style="58" bestFit="1" customWidth="1"/>
    <col min="16" max="16" width="10.7109375" style="1" customWidth="1"/>
    <col min="17" max="17" width="11" style="1" customWidth="1"/>
    <col min="18" max="18" width="12.28515625" style="1" customWidth="1"/>
    <col min="19" max="16384" width="9.140625" style="1"/>
  </cols>
  <sheetData>
    <row r="1" spans="1:18" ht="71.25" customHeight="1" x14ac:dyDescent="0.25">
      <c r="I1" s="399" t="s">
        <v>65</v>
      </c>
      <c r="J1" s="399"/>
      <c r="K1" s="399"/>
      <c r="L1" s="399"/>
      <c r="M1" s="399"/>
      <c r="N1" s="399"/>
      <c r="O1" s="399"/>
      <c r="P1" s="399"/>
    </row>
    <row r="2" spans="1:18" s="60" customFormat="1" ht="34.5" customHeight="1" x14ac:dyDescent="0.2">
      <c r="A2" s="368" t="s">
        <v>66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</row>
    <row r="3" spans="1:18" ht="35.25" customHeight="1" x14ac:dyDescent="0.25">
      <c r="A3" s="369" t="s">
        <v>67</v>
      </c>
      <c r="B3" s="369" t="s">
        <v>68</v>
      </c>
      <c r="C3" s="369"/>
      <c r="D3" s="369"/>
      <c r="E3" s="369"/>
      <c r="F3" s="369"/>
      <c r="G3" s="369"/>
      <c r="H3" s="369"/>
      <c r="I3" s="400" t="s">
        <v>69</v>
      </c>
      <c r="J3" s="401"/>
      <c r="K3" s="401"/>
      <c r="L3" s="401"/>
      <c r="M3" s="401"/>
      <c r="N3" s="401"/>
      <c r="O3" s="401"/>
      <c r="P3" s="401"/>
      <c r="Q3" s="401"/>
    </row>
    <row r="4" spans="1:18" ht="31.5" x14ac:dyDescent="0.25">
      <c r="A4" s="369"/>
      <c r="B4" s="6" t="s">
        <v>41</v>
      </c>
      <c r="C4" s="5" t="s">
        <v>42</v>
      </c>
      <c r="D4" s="5" t="s">
        <v>43</v>
      </c>
      <c r="E4" s="5" t="s">
        <v>44</v>
      </c>
      <c r="F4" s="5" t="s">
        <v>45</v>
      </c>
      <c r="G4" s="5" t="s">
        <v>46</v>
      </c>
      <c r="H4" s="5" t="s">
        <v>47</v>
      </c>
      <c r="I4" s="6" t="s">
        <v>41</v>
      </c>
      <c r="J4" s="5" t="s">
        <v>42</v>
      </c>
      <c r="K4" s="5" t="s">
        <v>43</v>
      </c>
      <c r="L4" s="5" t="s">
        <v>44</v>
      </c>
      <c r="M4" s="5" t="s">
        <v>45</v>
      </c>
      <c r="N4" s="6" t="s">
        <v>46</v>
      </c>
      <c r="O4" s="61" t="s">
        <v>47</v>
      </c>
      <c r="P4" s="5" t="s">
        <v>48</v>
      </c>
      <c r="Q4" s="61" t="s">
        <v>49</v>
      </c>
      <c r="R4" s="61" t="s">
        <v>50</v>
      </c>
    </row>
    <row r="5" spans="1:18" x14ac:dyDescent="0.25">
      <c r="A5" s="396" t="s">
        <v>70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8"/>
    </row>
    <row r="6" spans="1:18" x14ac:dyDescent="0.25">
      <c r="A6" s="11" t="s">
        <v>71</v>
      </c>
      <c r="B6" s="380" t="s">
        <v>72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2"/>
    </row>
    <row r="7" spans="1:18" x14ac:dyDescent="0.25">
      <c r="A7" s="383" t="s">
        <v>73</v>
      </c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5"/>
    </row>
    <row r="8" spans="1:18" ht="31.5" x14ac:dyDescent="0.25">
      <c r="A8" s="62" t="s">
        <v>74</v>
      </c>
      <c r="B8" s="24">
        <v>1264</v>
      </c>
      <c r="C8" s="24">
        <v>1687</v>
      </c>
      <c r="D8" s="24">
        <v>1731</v>
      </c>
      <c r="E8" s="24">
        <v>1673</v>
      </c>
      <c r="F8" s="24">
        <v>1753</v>
      </c>
      <c r="G8" s="24">
        <v>1753</v>
      </c>
      <c r="H8" s="24">
        <v>1741</v>
      </c>
      <c r="I8" s="63">
        <v>110039.9</v>
      </c>
      <c r="J8" s="24">
        <v>115982.1</v>
      </c>
      <c r="K8" s="63">
        <v>189224.3</v>
      </c>
      <c r="L8" s="63">
        <f>165397.3+24524.8</f>
        <v>189922.09999999998</v>
      </c>
      <c r="M8" s="63">
        <v>229336.9</v>
      </c>
      <c r="N8" s="63">
        <v>267495.40000000002</v>
      </c>
      <c r="O8" s="64">
        <v>272269.7</v>
      </c>
      <c r="P8" s="63">
        <v>270838.40000000002</v>
      </c>
      <c r="Q8" s="63">
        <v>270838.40000000002</v>
      </c>
      <c r="R8" s="63">
        <v>270838.40000000002</v>
      </c>
    </row>
    <row r="9" spans="1:18" x14ac:dyDescent="0.25">
      <c r="A9" s="393" t="s">
        <v>75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5"/>
      <c r="Q9" s="58"/>
    </row>
    <row r="10" spans="1:18" x14ac:dyDescent="0.25">
      <c r="A10" s="27" t="s">
        <v>71</v>
      </c>
      <c r="B10" s="387" t="s">
        <v>76</v>
      </c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9"/>
      <c r="Q10" s="58"/>
    </row>
    <row r="11" spans="1:18" x14ac:dyDescent="0.25">
      <c r="A11" s="390" t="s">
        <v>77</v>
      </c>
      <c r="B11" s="391"/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2"/>
      <c r="Q11" s="58"/>
    </row>
    <row r="12" spans="1:18" ht="31.5" x14ac:dyDescent="0.25">
      <c r="A12" s="62" t="s">
        <v>74</v>
      </c>
      <c r="B12" s="24">
        <v>1265</v>
      </c>
      <c r="C12" s="24">
        <v>1233</v>
      </c>
      <c r="D12" s="24">
        <v>1194</v>
      </c>
      <c r="E12" s="24">
        <v>1267</v>
      </c>
      <c r="F12" s="24">
        <v>1351</v>
      </c>
      <c r="G12" s="24">
        <v>1351</v>
      </c>
      <c r="H12" s="24">
        <v>1409</v>
      </c>
      <c r="I12" s="24">
        <v>58719.245999999999</v>
      </c>
      <c r="J12" s="24">
        <v>61890.1</v>
      </c>
      <c r="K12" s="63">
        <v>56463.8</v>
      </c>
      <c r="L12" s="63">
        <v>108873.3</v>
      </c>
      <c r="M12" s="63">
        <f>70.55*F12</f>
        <v>95313.05</v>
      </c>
      <c r="N12" s="63">
        <f>82.468081*1351</f>
        <v>111414.377431</v>
      </c>
      <c r="O12" s="64">
        <f>80.279327368*H12</f>
        <v>113113.572261512</v>
      </c>
      <c r="P12" s="63">
        <f>77.5401727861*H12</f>
        <v>109254.1034556149</v>
      </c>
      <c r="Q12" s="63">
        <f>76.9992594878*H12</f>
        <v>108491.9566183102</v>
      </c>
      <c r="R12" s="63">
        <f>Q12</f>
        <v>108491.9566183102</v>
      </c>
    </row>
    <row r="13" spans="1:18" x14ac:dyDescent="0.25">
      <c r="A13" s="393" t="s">
        <v>78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  <c r="P13" s="395"/>
      <c r="Q13" s="58"/>
    </row>
    <row r="14" spans="1:18" x14ac:dyDescent="0.25">
      <c r="A14" s="27" t="s">
        <v>71</v>
      </c>
      <c r="B14" s="387" t="s">
        <v>79</v>
      </c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9"/>
      <c r="Q14" s="58"/>
    </row>
    <row r="15" spans="1:18" x14ac:dyDescent="0.25">
      <c r="A15" s="390" t="s">
        <v>77</v>
      </c>
      <c r="B15" s="391"/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1"/>
      <c r="P15" s="392"/>
      <c r="Q15" s="58"/>
    </row>
    <row r="16" spans="1:18" ht="31.5" x14ac:dyDescent="0.25">
      <c r="A16" s="62" t="s">
        <v>74</v>
      </c>
      <c r="B16" s="61">
        <v>1284</v>
      </c>
      <c r="C16" s="61">
        <v>1377</v>
      </c>
      <c r="D16" s="61">
        <v>1433</v>
      </c>
      <c r="E16" s="61">
        <v>1086</v>
      </c>
      <c r="F16" s="61">
        <v>1419</v>
      </c>
      <c r="G16" s="61">
        <v>1419</v>
      </c>
      <c r="H16" s="61">
        <v>1450</v>
      </c>
      <c r="I16" s="63">
        <v>59652</v>
      </c>
      <c r="J16" s="24">
        <v>62873.2</v>
      </c>
      <c r="K16" s="24">
        <v>82739.399999999994</v>
      </c>
      <c r="L16" s="63">
        <v>93320</v>
      </c>
      <c r="M16" s="63">
        <f>70.55*F16</f>
        <v>100110.45</v>
      </c>
      <c r="N16" s="63">
        <f>82.468081*1419</f>
        <v>117022.206939</v>
      </c>
      <c r="O16" s="65">
        <f>80.279327368*H16</f>
        <v>116405.0246836</v>
      </c>
      <c r="P16" s="24">
        <f>77.5401727861*H16</f>
        <v>112433.250539845</v>
      </c>
      <c r="Q16" s="24">
        <f>76.9992594878*H16</f>
        <v>111648.92625731</v>
      </c>
      <c r="R16" s="66">
        <f>Q16</f>
        <v>111648.92625731</v>
      </c>
    </row>
    <row r="17" spans="1:18" x14ac:dyDescent="0.25">
      <c r="A17" s="393" t="s">
        <v>80</v>
      </c>
      <c r="B17" s="394"/>
      <c r="C17" s="394"/>
      <c r="D17" s="394"/>
      <c r="E17" s="394"/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5"/>
      <c r="Q17" s="58"/>
    </row>
    <row r="18" spans="1:18" x14ac:dyDescent="0.25">
      <c r="A18" s="27" t="s">
        <v>71</v>
      </c>
      <c r="B18" s="387" t="s">
        <v>81</v>
      </c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9"/>
      <c r="Q18" s="67"/>
    </row>
    <row r="19" spans="1:18" x14ac:dyDescent="0.25">
      <c r="A19" s="390" t="s">
        <v>77</v>
      </c>
      <c r="B19" s="391">
        <v>338</v>
      </c>
      <c r="C19" s="391">
        <v>309</v>
      </c>
      <c r="D19" s="391">
        <v>277</v>
      </c>
      <c r="E19" s="391">
        <v>270</v>
      </c>
      <c r="F19" s="391">
        <v>388</v>
      </c>
      <c r="G19" s="391">
        <v>388</v>
      </c>
      <c r="H19" s="391">
        <v>388</v>
      </c>
      <c r="I19" s="391">
        <v>14085.156999999999</v>
      </c>
      <c r="J19" s="391">
        <v>14845.7</v>
      </c>
      <c r="K19" s="391">
        <v>16243.5</v>
      </c>
      <c r="L19" s="391">
        <f>23201.1-13.98</f>
        <v>23187.119999999999</v>
      </c>
      <c r="M19" s="391">
        <f>70.55*F19-3.5</f>
        <v>27369.899999999998</v>
      </c>
      <c r="N19" s="391">
        <f>66.55*G19+49.5</f>
        <v>25870.899999999998</v>
      </c>
      <c r="O19" s="391">
        <f>N19</f>
        <v>25870.899999999998</v>
      </c>
      <c r="P19" s="392">
        <f>O19</f>
        <v>25870.899999999998</v>
      </c>
      <c r="Q19" s="58"/>
    </row>
    <row r="20" spans="1:18" ht="31.5" x14ac:dyDescent="0.25">
      <c r="A20" s="62" t="s">
        <v>74</v>
      </c>
      <c r="B20" s="24">
        <v>338</v>
      </c>
      <c r="C20" s="24">
        <v>309</v>
      </c>
      <c r="D20" s="24">
        <v>277</v>
      </c>
      <c r="E20" s="24">
        <v>270</v>
      </c>
      <c r="F20" s="24">
        <v>388</v>
      </c>
      <c r="G20" s="24">
        <v>388</v>
      </c>
      <c r="H20" s="24">
        <v>382</v>
      </c>
      <c r="I20" s="24">
        <v>14085.156999999999</v>
      </c>
      <c r="J20" s="24">
        <v>14845.7</v>
      </c>
      <c r="K20" s="63">
        <v>16243.5</v>
      </c>
      <c r="L20" s="63">
        <f>23201.1-13.98</f>
        <v>23187.119999999999</v>
      </c>
      <c r="M20" s="63">
        <f>70.55*F20-3.5</f>
        <v>27369.899999999998</v>
      </c>
      <c r="N20" s="63">
        <v>33657</v>
      </c>
      <c r="O20" s="65">
        <f>80.279327368*H20</f>
        <v>30666.703054575999</v>
      </c>
      <c r="P20" s="24">
        <f>77.5401727861*H20</f>
        <v>29620.346004290201</v>
      </c>
      <c r="Q20" s="63">
        <f>76.9992594878*H20</f>
        <v>29413.717124339601</v>
      </c>
      <c r="R20" s="68">
        <f>Q20</f>
        <v>29413.717124339601</v>
      </c>
    </row>
    <row r="21" spans="1:18" x14ac:dyDescent="0.25">
      <c r="A21" s="393"/>
      <c r="B21" s="394"/>
      <c r="C21" s="394"/>
      <c r="D21" s="394"/>
      <c r="E21" s="394"/>
      <c r="F21" s="394"/>
      <c r="G21" s="394"/>
      <c r="H21" s="394"/>
      <c r="I21" s="394"/>
      <c r="J21" s="394"/>
      <c r="K21" s="394"/>
      <c r="L21" s="394"/>
      <c r="M21" s="394"/>
      <c r="N21" s="394"/>
      <c r="O21" s="394"/>
      <c r="P21" s="395"/>
      <c r="Q21" s="67">
        <f>O12+O16+O20</f>
        <v>260185.299999688</v>
      </c>
      <c r="R21" s="69"/>
    </row>
    <row r="22" spans="1:18" x14ac:dyDescent="0.25">
      <c r="A22" s="27" t="s">
        <v>71</v>
      </c>
      <c r="B22" s="387" t="s">
        <v>82</v>
      </c>
      <c r="C22" s="388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9"/>
      <c r="Q22" s="67"/>
    </row>
    <row r="23" spans="1:18" x14ac:dyDescent="0.25">
      <c r="A23" s="390" t="s">
        <v>83</v>
      </c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392"/>
      <c r="Q23" s="58"/>
    </row>
    <row r="24" spans="1:18" ht="31.5" x14ac:dyDescent="0.25">
      <c r="A24" s="62" t="s">
        <v>74</v>
      </c>
      <c r="B24" s="24">
        <v>2859</v>
      </c>
      <c r="C24" s="24">
        <v>2860</v>
      </c>
      <c r="D24" s="24">
        <v>2850</v>
      </c>
      <c r="E24" s="24">
        <v>2783</v>
      </c>
      <c r="F24" s="24">
        <v>2783</v>
      </c>
      <c r="G24" s="24">
        <v>2783</v>
      </c>
      <c r="H24" s="24">
        <v>2783</v>
      </c>
      <c r="I24" s="63">
        <v>6990.7</v>
      </c>
      <c r="J24" s="24">
        <v>7764.9</v>
      </c>
      <c r="K24" s="24">
        <v>7414.4</v>
      </c>
      <c r="L24" s="24">
        <v>8058.3</v>
      </c>
      <c r="M24" s="24">
        <v>7980.8</v>
      </c>
      <c r="N24" s="24">
        <v>8394.1</v>
      </c>
      <c r="O24" s="65">
        <v>1637.8</v>
      </c>
      <c r="P24" s="24">
        <v>7628.8</v>
      </c>
      <c r="Q24" s="24">
        <v>7628.8</v>
      </c>
      <c r="R24" s="66">
        <f>Q24</f>
        <v>7628.8</v>
      </c>
    </row>
    <row r="25" spans="1:18" x14ac:dyDescent="0.25">
      <c r="A25" s="393" t="s">
        <v>84</v>
      </c>
      <c r="B25" s="394"/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5"/>
      <c r="Q25" s="67"/>
    </row>
    <row r="26" spans="1:18" x14ac:dyDescent="0.25">
      <c r="A26" s="27" t="s">
        <v>71</v>
      </c>
      <c r="B26" s="387" t="s">
        <v>85</v>
      </c>
      <c r="C26" s="388"/>
      <c r="D26" s="388"/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9"/>
      <c r="Q26" s="67"/>
    </row>
    <row r="27" spans="1:18" x14ac:dyDescent="0.25">
      <c r="A27" s="390" t="s">
        <v>77</v>
      </c>
      <c r="B27" s="391"/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2"/>
      <c r="Q27" s="58"/>
    </row>
    <row r="28" spans="1:18" ht="31.5" x14ac:dyDescent="0.25">
      <c r="A28" s="62" t="s">
        <v>74</v>
      </c>
      <c r="B28" s="70">
        <v>1760</v>
      </c>
      <c r="C28" s="70">
        <v>1718</v>
      </c>
      <c r="D28" s="70">
        <v>1663</v>
      </c>
      <c r="E28" s="70">
        <v>1639</v>
      </c>
      <c r="F28" s="70">
        <v>1639</v>
      </c>
      <c r="G28" s="70">
        <v>1639</v>
      </c>
      <c r="H28" s="70">
        <v>1639</v>
      </c>
      <c r="I28" s="70">
        <v>24540.2</v>
      </c>
      <c r="J28" s="70">
        <v>27318.799999999999</v>
      </c>
      <c r="K28" s="71">
        <v>37615.9</v>
      </c>
      <c r="L28" s="71">
        <v>34556.199999999997</v>
      </c>
      <c r="M28" s="71">
        <v>32389.599999999999</v>
      </c>
      <c r="N28" s="70">
        <v>33657</v>
      </c>
      <c r="O28" s="72">
        <v>34343.5</v>
      </c>
      <c r="P28" s="70">
        <v>32208.2</v>
      </c>
      <c r="Q28" s="70">
        <f>P28</f>
        <v>32208.2</v>
      </c>
      <c r="R28" s="66">
        <f>Q28</f>
        <v>32208.2</v>
      </c>
    </row>
    <row r="29" spans="1:18" x14ac:dyDescent="0.25">
      <c r="A29" s="396" t="s">
        <v>86</v>
      </c>
      <c r="B29" s="397"/>
      <c r="C29" s="397"/>
      <c r="D29" s="397"/>
      <c r="E29" s="397"/>
      <c r="F29" s="397"/>
      <c r="G29" s="397"/>
      <c r="H29" s="397"/>
      <c r="I29" s="397"/>
      <c r="J29" s="397"/>
      <c r="K29" s="397"/>
      <c r="L29" s="397"/>
      <c r="M29" s="397"/>
      <c r="N29" s="397"/>
      <c r="O29" s="397"/>
      <c r="P29" s="398"/>
    </row>
    <row r="30" spans="1:18" x14ac:dyDescent="0.25">
      <c r="A30" s="11" t="s">
        <v>71</v>
      </c>
      <c r="B30" s="380" t="s">
        <v>87</v>
      </c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2"/>
    </row>
    <row r="31" spans="1:18" x14ac:dyDescent="0.25">
      <c r="A31" s="383" t="s">
        <v>77</v>
      </c>
      <c r="B31" s="384"/>
      <c r="C31" s="384"/>
      <c r="D31" s="384"/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5"/>
    </row>
    <row r="32" spans="1:18" ht="31.5" x14ac:dyDescent="0.25">
      <c r="A32" s="20" t="s">
        <v>74</v>
      </c>
      <c r="B32" s="22">
        <v>272</v>
      </c>
      <c r="C32" s="22">
        <v>272</v>
      </c>
      <c r="D32" s="22">
        <v>272</v>
      </c>
      <c r="E32" s="22">
        <v>509</v>
      </c>
      <c r="F32" s="22">
        <v>520</v>
      </c>
      <c r="G32" s="22">
        <v>520</v>
      </c>
      <c r="H32" s="22">
        <v>520</v>
      </c>
      <c r="I32" s="73">
        <v>1840.2</v>
      </c>
      <c r="J32" s="73">
        <v>1939.6</v>
      </c>
      <c r="K32" s="73">
        <v>760.7</v>
      </c>
      <c r="L32" s="73">
        <f>415+1197.4</f>
        <v>1612.4</v>
      </c>
      <c r="M32" s="73">
        <f>444+1240.7</f>
        <v>1684.7</v>
      </c>
      <c r="N32" s="73">
        <f>444+1240.7</f>
        <v>1684.7</v>
      </c>
      <c r="O32" s="63">
        <f>444+1240.7</f>
        <v>1684.7</v>
      </c>
      <c r="P32" s="73">
        <f>444+1240.7</f>
        <v>1684.7</v>
      </c>
      <c r="Q32" s="73">
        <f>444+1240.7</f>
        <v>1684.7</v>
      </c>
      <c r="R32" s="68">
        <f>Q32</f>
        <v>1684.7</v>
      </c>
    </row>
    <row r="34" spans="1:15" x14ac:dyDescent="0.25">
      <c r="N34" s="74"/>
      <c r="O34" s="67"/>
    </row>
    <row r="35" spans="1:15" x14ac:dyDescent="0.25">
      <c r="A35" s="1" t="s">
        <v>33</v>
      </c>
      <c r="K35" s="386" t="s">
        <v>34</v>
      </c>
      <c r="L35" s="386"/>
      <c r="M35" s="386"/>
      <c r="N35" s="386"/>
      <c r="O35" s="386"/>
    </row>
  </sheetData>
  <mergeCells count="27">
    <mergeCell ref="A5:P5"/>
    <mergeCell ref="I1:P1"/>
    <mergeCell ref="A2:P2"/>
    <mergeCell ref="A3:A4"/>
    <mergeCell ref="B3:H3"/>
    <mergeCell ref="I3:Q3"/>
    <mergeCell ref="A21:P21"/>
    <mergeCell ref="B6:P6"/>
    <mergeCell ref="A7:P7"/>
    <mergeCell ref="A9:P9"/>
    <mergeCell ref="B10:P10"/>
    <mergeCell ref="A11:P11"/>
    <mergeCell ref="A13:P13"/>
    <mergeCell ref="B14:P14"/>
    <mergeCell ref="A15:P15"/>
    <mergeCell ref="A17:P17"/>
    <mergeCell ref="B18:P18"/>
    <mergeCell ref="A19:P19"/>
    <mergeCell ref="B30:P30"/>
    <mergeCell ref="A31:P31"/>
    <mergeCell ref="K35:O35"/>
    <mergeCell ref="B22:P22"/>
    <mergeCell ref="A23:P23"/>
    <mergeCell ref="A25:P25"/>
    <mergeCell ref="B26:P26"/>
    <mergeCell ref="A27:P27"/>
    <mergeCell ref="A29:P29"/>
  </mergeCells>
  <pageMargins left="0.51181102362204722" right="0.51181102362204722" top="0.55118110236220474" bottom="0.35433070866141736" header="0.31496062992125984" footer="0.31496062992125984"/>
  <pageSetup paperSize="9" scale="64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view="pageBreakPreview" zoomScaleNormal="100" zoomScaleSheetLayoutView="100" workbookViewId="0">
      <pane xSplit="2" ySplit="6" topLeftCell="C64" activePane="bottomRight" state="frozen"/>
      <selection activeCell="B8" sqref="B8"/>
      <selection pane="topRight" activeCell="B8" sqref="B8"/>
      <selection pane="bottomLeft" activeCell="B8" sqref="B8"/>
      <selection pane="bottomRight" activeCell="B66" sqref="B66"/>
    </sheetView>
  </sheetViews>
  <sheetFormatPr defaultRowHeight="15.75" x14ac:dyDescent="0.25"/>
  <cols>
    <col min="1" max="1" width="7.5703125" style="128" customWidth="1"/>
    <col min="2" max="2" width="79.140625" style="36" customWidth="1"/>
    <col min="3" max="3" width="12" style="36" customWidth="1"/>
    <col min="4" max="4" width="11.85546875" style="36" customWidth="1"/>
    <col min="5" max="5" width="26.140625" style="36" customWidth="1"/>
    <col min="6" max="6" width="11.42578125" style="36" hidden="1" customWidth="1"/>
    <col min="7" max="13" width="10.7109375" style="36" customWidth="1"/>
    <col min="14" max="15" width="10.7109375" style="78" customWidth="1"/>
    <col min="16" max="16384" width="9.140625" style="36"/>
  </cols>
  <sheetData>
    <row r="1" spans="1:16" ht="65.25" customHeight="1" x14ac:dyDescent="0.25">
      <c r="A1" s="75"/>
      <c r="B1" s="76"/>
      <c r="C1" s="77"/>
      <c r="D1" s="76"/>
      <c r="E1" s="76"/>
      <c r="G1" s="411" t="s">
        <v>88</v>
      </c>
      <c r="H1" s="411"/>
      <c r="I1" s="411"/>
      <c r="J1" s="411"/>
      <c r="K1" s="411"/>
      <c r="L1" s="411"/>
      <c r="M1" s="411"/>
    </row>
    <row r="2" spans="1:16" ht="37.5" customHeight="1" x14ac:dyDescent="0.25">
      <c r="A2" s="412" t="s">
        <v>89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</row>
    <row r="3" spans="1:16" x14ac:dyDescent="0.25">
      <c r="A3" s="413" t="s">
        <v>90</v>
      </c>
      <c r="B3" s="406" t="s">
        <v>91</v>
      </c>
      <c r="C3" s="406" t="s">
        <v>92</v>
      </c>
      <c r="D3" s="406" t="s">
        <v>93</v>
      </c>
      <c r="E3" s="406" t="s">
        <v>94</v>
      </c>
      <c r="F3" s="359" t="s">
        <v>95</v>
      </c>
      <c r="G3" s="359" t="s">
        <v>41</v>
      </c>
      <c r="H3" s="359" t="s">
        <v>42</v>
      </c>
      <c r="I3" s="359" t="s">
        <v>43</v>
      </c>
      <c r="J3" s="359" t="s">
        <v>44</v>
      </c>
      <c r="K3" s="359" t="s">
        <v>45</v>
      </c>
      <c r="L3" s="359" t="s">
        <v>46</v>
      </c>
      <c r="M3" s="359" t="s">
        <v>47</v>
      </c>
      <c r="N3" s="359" t="s">
        <v>48</v>
      </c>
      <c r="O3" s="359" t="s">
        <v>49</v>
      </c>
      <c r="P3" s="359" t="s">
        <v>50</v>
      </c>
    </row>
    <row r="4" spans="1:16" x14ac:dyDescent="0.25">
      <c r="A4" s="413"/>
      <c r="B4" s="406"/>
      <c r="C4" s="406"/>
      <c r="D4" s="406"/>
      <c r="E4" s="406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</row>
    <row r="5" spans="1:16" x14ac:dyDescent="0.25">
      <c r="A5" s="413"/>
      <c r="B5" s="406"/>
      <c r="C5" s="406"/>
      <c r="D5" s="406"/>
      <c r="E5" s="406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</row>
    <row r="6" spans="1:16" x14ac:dyDescent="0.25">
      <c r="A6" s="406" t="s">
        <v>96</v>
      </c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79"/>
    </row>
    <row r="7" spans="1:16" ht="47.25" x14ac:dyDescent="0.25">
      <c r="A7" s="23">
        <v>1</v>
      </c>
      <c r="B7" s="80" t="s">
        <v>97</v>
      </c>
      <c r="C7" s="22" t="s">
        <v>98</v>
      </c>
      <c r="D7" s="81" t="s">
        <v>99</v>
      </c>
      <c r="E7" s="82" t="s">
        <v>100</v>
      </c>
      <c r="F7" s="83"/>
      <c r="G7" s="84">
        <v>95</v>
      </c>
      <c r="H7" s="84">
        <v>95</v>
      </c>
      <c r="I7" s="84">
        <v>96</v>
      </c>
      <c r="J7" s="84">
        <v>96</v>
      </c>
      <c r="K7" s="84">
        <v>96</v>
      </c>
      <c r="L7" s="84">
        <v>96</v>
      </c>
      <c r="M7" s="84">
        <v>96</v>
      </c>
      <c r="N7" s="84">
        <v>96</v>
      </c>
      <c r="O7" s="84">
        <f>N7</f>
        <v>96</v>
      </c>
      <c r="P7" s="85">
        <f>O7</f>
        <v>96</v>
      </c>
    </row>
    <row r="8" spans="1:16" ht="63" x14ac:dyDescent="0.25">
      <c r="A8" s="23" t="s">
        <v>101</v>
      </c>
      <c r="B8" s="80" t="s">
        <v>102</v>
      </c>
      <c r="C8" s="22" t="s">
        <v>98</v>
      </c>
      <c r="D8" s="81" t="s">
        <v>99</v>
      </c>
      <c r="E8" s="82" t="s">
        <v>103</v>
      </c>
      <c r="F8" s="73">
        <v>80</v>
      </c>
      <c r="G8" s="24">
        <v>91.3</v>
      </c>
      <c r="H8" s="24">
        <v>100</v>
      </c>
      <c r="I8" s="24">
        <v>100</v>
      </c>
      <c r="J8" s="24">
        <v>100</v>
      </c>
      <c r="K8" s="24">
        <v>100</v>
      </c>
      <c r="L8" s="24">
        <v>100</v>
      </c>
      <c r="M8" s="24">
        <v>100</v>
      </c>
      <c r="N8" s="24">
        <v>100</v>
      </c>
      <c r="O8" s="84">
        <f t="shared" ref="O8:P10" si="0">N8</f>
        <v>100</v>
      </c>
      <c r="P8" s="85">
        <f t="shared" si="0"/>
        <v>100</v>
      </c>
    </row>
    <row r="9" spans="1:16" ht="63" x14ac:dyDescent="0.25">
      <c r="A9" s="23" t="s">
        <v>104</v>
      </c>
      <c r="B9" s="86" t="s">
        <v>105</v>
      </c>
      <c r="C9" s="81" t="s">
        <v>98</v>
      </c>
      <c r="D9" s="81" t="s">
        <v>99</v>
      </c>
      <c r="E9" s="81" t="s">
        <v>103</v>
      </c>
      <c r="F9" s="81">
        <v>1.96</v>
      </c>
      <c r="G9" s="87">
        <v>98.53</v>
      </c>
      <c r="H9" s="87">
        <v>98.6</v>
      </c>
      <c r="I9" s="87">
        <v>98.6</v>
      </c>
      <c r="J9" s="87">
        <v>100</v>
      </c>
      <c r="K9" s="87">
        <v>100</v>
      </c>
      <c r="L9" s="87">
        <v>100</v>
      </c>
      <c r="M9" s="87">
        <v>100</v>
      </c>
      <c r="N9" s="87">
        <v>100</v>
      </c>
      <c r="O9" s="84">
        <f t="shared" si="0"/>
        <v>100</v>
      </c>
      <c r="P9" s="85">
        <f t="shared" si="0"/>
        <v>100</v>
      </c>
    </row>
    <row r="10" spans="1:16" ht="63" x14ac:dyDescent="0.25">
      <c r="A10" s="23" t="s">
        <v>106</v>
      </c>
      <c r="B10" s="80" t="s">
        <v>107</v>
      </c>
      <c r="C10" s="22" t="s">
        <v>98</v>
      </c>
      <c r="D10" s="81" t="s">
        <v>99</v>
      </c>
      <c r="E10" s="81" t="s">
        <v>103</v>
      </c>
      <c r="F10" s="88">
        <v>60.5</v>
      </c>
      <c r="G10" s="89">
        <v>67</v>
      </c>
      <c r="H10" s="89">
        <v>83</v>
      </c>
      <c r="I10" s="89">
        <v>83</v>
      </c>
      <c r="J10" s="89">
        <v>83</v>
      </c>
      <c r="K10" s="89">
        <v>83</v>
      </c>
      <c r="L10" s="89">
        <v>83</v>
      </c>
      <c r="M10" s="89">
        <v>100</v>
      </c>
      <c r="N10" s="89">
        <v>100</v>
      </c>
      <c r="O10" s="84">
        <f t="shared" si="0"/>
        <v>100</v>
      </c>
      <c r="P10" s="85">
        <f t="shared" si="0"/>
        <v>100</v>
      </c>
    </row>
    <row r="11" spans="1:16" s="58" customFormat="1" x14ac:dyDescent="0.25">
      <c r="A11" s="407" t="s">
        <v>108</v>
      </c>
      <c r="B11" s="407"/>
      <c r="C11" s="407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90"/>
    </row>
    <row r="12" spans="1:16" s="58" customFormat="1" x14ac:dyDescent="0.25">
      <c r="A12" s="407" t="s">
        <v>109</v>
      </c>
      <c r="B12" s="407"/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  <c r="O12" s="90"/>
    </row>
    <row r="13" spans="1:16" s="58" customFormat="1" x14ac:dyDescent="0.25">
      <c r="A13" s="407" t="s">
        <v>110</v>
      </c>
      <c r="B13" s="407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90"/>
    </row>
    <row r="14" spans="1:16" ht="31.5" x14ac:dyDescent="0.25">
      <c r="A14" s="23" t="s">
        <v>111</v>
      </c>
      <c r="B14" s="80" t="s">
        <v>112</v>
      </c>
      <c r="C14" s="24" t="s">
        <v>98</v>
      </c>
      <c r="D14" s="22">
        <v>0.02</v>
      </c>
      <c r="E14" s="91" t="s">
        <v>113</v>
      </c>
      <c r="F14" s="24">
        <v>64</v>
      </c>
      <c r="G14" s="24">
        <v>90.1</v>
      </c>
      <c r="H14" s="63">
        <v>97.5</v>
      </c>
      <c r="I14" s="63">
        <v>100</v>
      </c>
      <c r="J14" s="63">
        <v>100</v>
      </c>
      <c r="K14" s="63">
        <v>100</v>
      </c>
      <c r="L14" s="63">
        <v>100</v>
      </c>
      <c r="M14" s="63">
        <v>100</v>
      </c>
      <c r="N14" s="63">
        <v>100</v>
      </c>
      <c r="O14" s="63">
        <f>N14</f>
        <v>100</v>
      </c>
      <c r="P14" s="92">
        <f>O14</f>
        <v>100</v>
      </c>
    </row>
    <row r="15" spans="1:16" ht="63" x14ac:dyDescent="0.25">
      <c r="A15" s="23" t="s">
        <v>114</v>
      </c>
      <c r="B15" s="80" t="s">
        <v>115</v>
      </c>
      <c r="C15" s="24" t="s">
        <v>98</v>
      </c>
      <c r="D15" s="22">
        <v>0.02</v>
      </c>
      <c r="E15" s="91" t="s">
        <v>113</v>
      </c>
      <c r="F15" s="61">
        <v>78.8</v>
      </c>
      <c r="G15" s="61">
        <v>85</v>
      </c>
      <c r="H15" s="61">
        <v>97</v>
      </c>
      <c r="I15" s="63">
        <v>100</v>
      </c>
      <c r="J15" s="63">
        <v>100</v>
      </c>
      <c r="K15" s="63">
        <v>100</v>
      </c>
      <c r="L15" s="63">
        <v>100</v>
      </c>
      <c r="M15" s="63">
        <v>100</v>
      </c>
      <c r="N15" s="63">
        <v>100</v>
      </c>
      <c r="O15" s="63">
        <f t="shared" ref="O15:P17" si="1">N15</f>
        <v>100</v>
      </c>
      <c r="P15" s="92">
        <f t="shared" si="1"/>
        <v>100</v>
      </c>
    </row>
    <row r="16" spans="1:16" ht="94.5" x14ac:dyDescent="0.25">
      <c r="A16" s="23" t="s">
        <v>116</v>
      </c>
      <c r="B16" s="80" t="s">
        <v>117</v>
      </c>
      <c r="C16" s="24" t="s">
        <v>98</v>
      </c>
      <c r="D16" s="22">
        <v>0.02</v>
      </c>
      <c r="E16" s="91" t="s">
        <v>113</v>
      </c>
      <c r="F16" s="93" t="s">
        <v>118</v>
      </c>
      <c r="G16" s="24" t="s">
        <v>118</v>
      </c>
      <c r="H16" s="63">
        <v>0</v>
      </c>
      <c r="I16" s="63">
        <v>0</v>
      </c>
      <c r="J16" s="63">
        <v>100</v>
      </c>
      <c r="K16" s="63">
        <v>100</v>
      </c>
      <c r="L16" s="63">
        <v>100</v>
      </c>
      <c r="M16" s="63">
        <v>100</v>
      </c>
      <c r="N16" s="63">
        <v>100</v>
      </c>
      <c r="O16" s="63">
        <f t="shared" si="1"/>
        <v>100</v>
      </c>
      <c r="P16" s="92">
        <f t="shared" si="1"/>
        <v>100</v>
      </c>
    </row>
    <row r="17" spans="1:16" ht="78.75" x14ac:dyDescent="0.25">
      <c r="A17" s="23" t="s">
        <v>119</v>
      </c>
      <c r="B17" s="80" t="s">
        <v>120</v>
      </c>
      <c r="C17" s="24" t="s">
        <v>98</v>
      </c>
      <c r="D17" s="22">
        <v>0.02</v>
      </c>
      <c r="E17" s="91" t="s">
        <v>113</v>
      </c>
      <c r="F17" s="24" t="s">
        <v>118</v>
      </c>
      <c r="G17" s="24" t="s">
        <v>121</v>
      </c>
      <c r="H17" s="63" t="s">
        <v>122</v>
      </c>
      <c r="I17" s="63" t="s">
        <v>122</v>
      </c>
      <c r="J17" s="63" t="s">
        <v>122</v>
      </c>
      <c r="K17" s="63" t="s">
        <v>122</v>
      </c>
      <c r="L17" s="63" t="s">
        <v>122</v>
      </c>
      <c r="M17" s="63" t="s">
        <v>122</v>
      </c>
      <c r="N17" s="63" t="s">
        <v>122</v>
      </c>
      <c r="O17" s="63" t="str">
        <f t="shared" si="1"/>
        <v>80(10)</v>
      </c>
      <c r="P17" s="73" t="str">
        <f t="shared" si="1"/>
        <v>80(10)</v>
      </c>
    </row>
    <row r="18" spans="1:16" s="58" customFormat="1" x14ac:dyDescent="0.25">
      <c r="A18" s="407" t="s">
        <v>123</v>
      </c>
      <c r="B18" s="407"/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407"/>
      <c r="O18" s="90"/>
    </row>
    <row r="19" spans="1:16" s="58" customFormat="1" x14ac:dyDescent="0.25">
      <c r="A19" s="407" t="s">
        <v>124</v>
      </c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90"/>
    </row>
    <row r="20" spans="1:16" s="58" customFormat="1" x14ac:dyDescent="0.25">
      <c r="A20" s="407" t="s">
        <v>125</v>
      </c>
      <c r="B20" s="407"/>
      <c r="C20" s="407"/>
      <c r="D20" s="407"/>
      <c r="E20" s="407"/>
      <c r="F20" s="407"/>
      <c r="G20" s="407"/>
      <c r="H20" s="407"/>
      <c r="I20" s="407"/>
      <c r="J20" s="407"/>
      <c r="K20" s="407"/>
      <c r="L20" s="407"/>
      <c r="M20" s="407"/>
      <c r="N20" s="407"/>
      <c r="O20" s="90"/>
    </row>
    <row r="21" spans="1:16" ht="31.5" x14ac:dyDescent="0.25">
      <c r="A21" s="23" t="s">
        <v>126</v>
      </c>
      <c r="B21" s="80" t="s">
        <v>127</v>
      </c>
      <c r="C21" s="22" t="s">
        <v>98</v>
      </c>
      <c r="D21" s="22">
        <v>0.02</v>
      </c>
      <c r="E21" s="82" t="s">
        <v>103</v>
      </c>
      <c r="F21" s="22" t="s">
        <v>128</v>
      </c>
      <c r="G21" s="94">
        <v>71.400000000000006</v>
      </c>
      <c r="H21" s="94">
        <v>85.7</v>
      </c>
      <c r="I21" s="88">
        <v>85.7</v>
      </c>
      <c r="J21" s="88">
        <v>85.7</v>
      </c>
      <c r="K21" s="88">
        <v>85.7</v>
      </c>
      <c r="L21" s="88">
        <v>85.7</v>
      </c>
      <c r="M21" s="88">
        <v>85.7</v>
      </c>
      <c r="N21" s="88">
        <v>85.7</v>
      </c>
      <c r="O21" s="88">
        <f>N21</f>
        <v>85.7</v>
      </c>
      <c r="P21" s="85">
        <f>O21</f>
        <v>85.7</v>
      </c>
    </row>
    <row r="22" spans="1:16" ht="31.5" x14ac:dyDescent="0.25">
      <c r="A22" s="23" t="s">
        <v>129</v>
      </c>
      <c r="B22" s="80" t="s">
        <v>130</v>
      </c>
      <c r="C22" s="22" t="s">
        <v>98</v>
      </c>
      <c r="D22" s="22">
        <v>0.02</v>
      </c>
      <c r="E22" s="82" t="s">
        <v>103</v>
      </c>
      <c r="F22" s="22" t="s">
        <v>128</v>
      </c>
      <c r="G22" s="95">
        <v>75</v>
      </c>
      <c r="H22" s="95">
        <v>75</v>
      </c>
      <c r="I22" s="88">
        <v>75</v>
      </c>
      <c r="J22" s="88">
        <v>85</v>
      </c>
      <c r="K22" s="88">
        <v>85</v>
      </c>
      <c r="L22" s="88">
        <v>85</v>
      </c>
      <c r="M22" s="88">
        <v>85</v>
      </c>
      <c r="N22" s="88">
        <v>85</v>
      </c>
      <c r="O22" s="88">
        <f>N22</f>
        <v>85</v>
      </c>
      <c r="P22" s="85">
        <f>O22</f>
        <v>85</v>
      </c>
    </row>
    <row r="23" spans="1:16" ht="31.5" x14ac:dyDescent="0.25">
      <c r="A23" s="23" t="s">
        <v>131</v>
      </c>
      <c r="B23" s="80" t="s">
        <v>132</v>
      </c>
      <c r="C23" s="22" t="s">
        <v>133</v>
      </c>
      <c r="D23" s="22">
        <v>0.02</v>
      </c>
      <c r="E23" s="82" t="s">
        <v>103</v>
      </c>
      <c r="F23" s="22"/>
      <c r="G23" s="95">
        <v>8</v>
      </c>
      <c r="H23" s="95">
        <v>8</v>
      </c>
      <c r="I23" s="88">
        <v>8</v>
      </c>
      <c r="J23" s="88">
        <v>8</v>
      </c>
      <c r="K23" s="88">
        <v>8</v>
      </c>
      <c r="L23" s="88">
        <v>8</v>
      </c>
      <c r="M23" s="88">
        <v>8</v>
      </c>
      <c r="N23" s="88">
        <v>8</v>
      </c>
      <c r="O23" s="88">
        <f t="shared" ref="O23:P42" si="2">N23</f>
        <v>8</v>
      </c>
      <c r="P23" s="85">
        <f t="shared" si="2"/>
        <v>8</v>
      </c>
    </row>
    <row r="24" spans="1:16" ht="31.5" x14ac:dyDescent="0.25">
      <c r="A24" s="23" t="s">
        <v>134</v>
      </c>
      <c r="B24" s="80" t="s">
        <v>135</v>
      </c>
      <c r="C24" s="22" t="s">
        <v>98</v>
      </c>
      <c r="D24" s="22">
        <v>0.02</v>
      </c>
      <c r="E24" s="82" t="s">
        <v>103</v>
      </c>
      <c r="F24" s="22"/>
      <c r="G24" s="95">
        <v>100</v>
      </c>
      <c r="H24" s="95">
        <v>100</v>
      </c>
      <c r="I24" s="88">
        <v>100</v>
      </c>
      <c r="J24" s="88">
        <v>100</v>
      </c>
      <c r="K24" s="88">
        <v>100</v>
      </c>
      <c r="L24" s="88">
        <v>100</v>
      </c>
      <c r="M24" s="88">
        <v>100</v>
      </c>
      <c r="N24" s="88">
        <v>100</v>
      </c>
      <c r="O24" s="88">
        <f t="shared" si="2"/>
        <v>100</v>
      </c>
      <c r="P24" s="85">
        <f t="shared" si="2"/>
        <v>100</v>
      </c>
    </row>
    <row r="25" spans="1:16" ht="31.5" x14ac:dyDescent="0.25">
      <c r="A25" s="23" t="s">
        <v>136</v>
      </c>
      <c r="B25" s="80" t="s">
        <v>137</v>
      </c>
      <c r="C25" s="22" t="s">
        <v>133</v>
      </c>
      <c r="D25" s="22">
        <v>0.02</v>
      </c>
      <c r="E25" s="82" t="s">
        <v>103</v>
      </c>
      <c r="F25" s="22" t="s">
        <v>128</v>
      </c>
      <c r="G25" s="95">
        <v>7</v>
      </c>
      <c r="H25" s="95">
        <v>7</v>
      </c>
      <c r="I25" s="95">
        <v>7</v>
      </c>
      <c r="J25" s="95">
        <v>7</v>
      </c>
      <c r="K25" s="95">
        <v>7</v>
      </c>
      <c r="L25" s="95">
        <v>7</v>
      </c>
      <c r="M25" s="95">
        <v>7</v>
      </c>
      <c r="N25" s="95">
        <v>7</v>
      </c>
      <c r="O25" s="88">
        <f t="shared" si="2"/>
        <v>7</v>
      </c>
      <c r="P25" s="85">
        <f t="shared" si="2"/>
        <v>7</v>
      </c>
    </row>
    <row r="26" spans="1:16" s="58" customFormat="1" x14ac:dyDescent="0.25">
      <c r="A26" s="407" t="s">
        <v>138</v>
      </c>
      <c r="B26" s="407"/>
      <c r="C26" s="407"/>
      <c r="D26" s="407"/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88"/>
      <c r="P26" s="85"/>
    </row>
    <row r="27" spans="1:16" ht="31.5" x14ac:dyDescent="0.25">
      <c r="A27" s="23" t="s">
        <v>139</v>
      </c>
      <c r="B27" s="80" t="s">
        <v>140</v>
      </c>
      <c r="C27" s="81" t="s">
        <v>98</v>
      </c>
      <c r="D27" s="22">
        <v>0.02</v>
      </c>
      <c r="E27" s="81" t="s">
        <v>103</v>
      </c>
      <c r="F27" s="6">
        <v>15.6</v>
      </c>
      <c r="G27" s="95">
        <v>87.5</v>
      </c>
      <c r="H27" s="95">
        <v>100</v>
      </c>
      <c r="I27" s="95">
        <v>100</v>
      </c>
      <c r="J27" s="95">
        <v>100</v>
      </c>
      <c r="K27" s="95">
        <v>100</v>
      </c>
      <c r="L27" s="96">
        <v>100</v>
      </c>
      <c r="M27" s="96">
        <v>100</v>
      </c>
      <c r="N27" s="96">
        <v>100</v>
      </c>
      <c r="O27" s="88">
        <f t="shared" si="2"/>
        <v>100</v>
      </c>
      <c r="P27" s="85">
        <f t="shared" si="2"/>
        <v>100</v>
      </c>
    </row>
    <row r="28" spans="1:16" ht="31.5" x14ac:dyDescent="0.25">
      <c r="A28" s="23" t="s">
        <v>141</v>
      </c>
      <c r="B28" s="80" t="s">
        <v>142</v>
      </c>
      <c r="C28" s="81" t="s">
        <v>98</v>
      </c>
      <c r="D28" s="22">
        <v>0.03</v>
      </c>
      <c r="E28" s="81" t="s">
        <v>103</v>
      </c>
      <c r="F28" s="6">
        <v>83.66</v>
      </c>
      <c r="G28" s="95">
        <v>89</v>
      </c>
      <c r="H28" s="95">
        <v>90</v>
      </c>
      <c r="I28" s="96">
        <v>95</v>
      </c>
      <c r="J28" s="96">
        <v>95</v>
      </c>
      <c r="K28" s="96">
        <v>95</v>
      </c>
      <c r="L28" s="96">
        <v>95</v>
      </c>
      <c r="M28" s="96">
        <v>95</v>
      </c>
      <c r="N28" s="96">
        <v>95</v>
      </c>
      <c r="O28" s="88">
        <f t="shared" si="2"/>
        <v>95</v>
      </c>
      <c r="P28" s="85">
        <f t="shared" si="2"/>
        <v>95</v>
      </c>
    </row>
    <row r="29" spans="1:16" ht="63" x14ac:dyDescent="0.25">
      <c r="A29" s="23" t="s">
        <v>143</v>
      </c>
      <c r="B29" s="80" t="s">
        <v>144</v>
      </c>
      <c r="C29" s="81" t="s">
        <v>98</v>
      </c>
      <c r="D29" s="22">
        <v>0.03</v>
      </c>
      <c r="E29" s="81" t="s">
        <v>103</v>
      </c>
      <c r="F29" s="97">
        <v>90</v>
      </c>
      <c r="G29" s="95">
        <v>10.1</v>
      </c>
      <c r="H29" s="95">
        <v>10.1</v>
      </c>
      <c r="I29" s="96">
        <v>10.1</v>
      </c>
      <c r="J29" s="96">
        <v>9.1</v>
      </c>
      <c r="K29" s="96">
        <v>9.5</v>
      </c>
      <c r="L29" s="96">
        <v>10.1</v>
      </c>
      <c r="M29" s="96">
        <v>10.1</v>
      </c>
      <c r="N29" s="96">
        <v>10.1</v>
      </c>
      <c r="O29" s="88">
        <f t="shared" si="2"/>
        <v>10.1</v>
      </c>
      <c r="P29" s="85">
        <f t="shared" si="2"/>
        <v>10.1</v>
      </c>
    </row>
    <row r="30" spans="1:16" s="98" customFormat="1" ht="63" x14ac:dyDescent="0.2">
      <c r="A30" s="23" t="s">
        <v>145</v>
      </c>
      <c r="B30" s="80" t="s">
        <v>146</v>
      </c>
      <c r="C30" s="22" t="s">
        <v>98</v>
      </c>
      <c r="D30" s="22">
        <v>0.03</v>
      </c>
      <c r="E30" s="82" t="s">
        <v>100</v>
      </c>
      <c r="F30" s="88">
        <v>2.34</v>
      </c>
      <c r="G30" s="95">
        <v>1.1299999999999999</v>
      </c>
      <c r="H30" s="95">
        <v>1.57</v>
      </c>
      <c r="I30" s="95">
        <v>1.72</v>
      </c>
      <c r="J30" s="95">
        <v>1.86</v>
      </c>
      <c r="K30" s="95">
        <v>1.87</v>
      </c>
      <c r="L30" s="95">
        <v>1.9</v>
      </c>
      <c r="M30" s="95">
        <v>1.9</v>
      </c>
      <c r="N30" s="95">
        <v>1.9</v>
      </c>
      <c r="O30" s="88">
        <f t="shared" si="2"/>
        <v>1.9</v>
      </c>
      <c r="P30" s="85">
        <f t="shared" si="2"/>
        <v>1.9</v>
      </c>
    </row>
    <row r="31" spans="1:16" ht="47.25" x14ac:dyDescent="0.25">
      <c r="A31" s="23" t="s">
        <v>147</v>
      </c>
      <c r="B31" s="80" t="s">
        <v>148</v>
      </c>
      <c r="C31" s="81" t="s">
        <v>98</v>
      </c>
      <c r="D31" s="22">
        <v>0.02</v>
      </c>
      <c r="E31" s="81" t="s">
        <v>103</v>
      </c>
      <c r="F31" s="6">
        <v>9.7799999999999994</v>
      </c>
      <c r="G31" s="94">
        <v>39</v>
      </c>
      <c r="H31" s="94">
        <v>41</v>
      </c>
      <c r="I31" s="96">
        <v>41</v>
      </c>
      <c r="J31" s="99">
        <v>42.5</v>
      </c>
      <c r="K31" s="99">
        <v>48.8</v>
      </c>
      <c r="L31" s="99">
        <v>50.2</v>
      </c>
      <c r="M31" s="99">
        <v>50.2</v>
      </c>
      <c r="N31" s="99">
        <v>50.2</v>
      </c>
      <c r="O31" s="88">
        <f t="shared" si="2"/>
        <v>50.2</v>
      </c>
      <c r="P31" s="85">
        <f t="shared" si="2"/>
        <v>50.2</v>
      </c>
    </row>
    <row r="32" spans="1:16" ht="63" x14ac:dyDescent="0.25">
      <c r="A32" s="23" t="s">
        <v>149</v>
      </c>
      <c r="B32" s="80" t="s">
        <v>150</v>
      </c>
      <c r="C32" s="100" t="s">
        <v>98</v>
      </c>
      <c r="D32" s="22">
        <v>0.03</v>
      </c>
      <c r="E32" s="81" t="s">
        <v>103</v>
      </c>
      <c r="F32" s="100">
        <v>83</v>
      </c>
      <c r="G32" s="94">
        <v>0</v>
      </c>
      <c r="H32" s="94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88">
        <f t="shared" si="2"/>
        <v>0</v>
      </c>
      <c r="P32" s="85">
        <f t="shared" si="2"/>
        <v>0</v>
      </c>
    </row>
    <row r="33" spans="1:16" ht="47.25" x14ac:dyDescent="0.25">
      <c r="A33" s="23" t="s">
        <v>151</v>
      </c>
      <c r="B33" s="80" t="s">
        <v>152</v>
      </c>
      <c r="C33" s="100" t="s">
        <v>98</v>
      </c>
      <c r="D33" s="22">
        <v>0.02</v>
      </c>
      <c r="E33" s="81" t="s">
        <v>103</v>
      </c>
      <c r="F33" s="101">
        <v>35</v>
      </c>
      <c r="G33" s="102">
        <v>93.5</v>
      </c>
      <c r="H33" s="102">
        <v>93.5</v>
      </c>
      <c r="I33" s="99">
        <v>95</v>
      </c>
      <c r="J33" s="99">
        <v>100</v>
      </c>
      <c r="K33" s="99">
        <v>100</v>
      </c>
      <c r="L33" s="99">
        <v>100</v>
      </c>
      <c r="M33" s="99">
        <v>100</v>
      </c>
      <c r="N33" s="99">
        <v>100</v>
      </c>
      <c r="O33" s="88">
        <f t="shared" si="2"/>
        <v>100</v>
      </c>
      <c r="P33" s="85">
        <f t="shared" si="2"/>
        <v>100</v>
      </c>
    </row>
    <row r="34" spans="1:16" ht="47.25" x14ac:dyDescent="0.25">
      <c r="A34" s="23" t="s">
        <v>153</v>
      </c>
      <c r="B34" s="80" t="s">
        <v>154</v>
      </c>
      <c r="C34" s="100" t="s">
        <v>98</v>
      </c>
      <c r="D34" s="22">
        <v>0.02</v>
      </c>
      <c r="E34" s="81" t="s">
        <v>103</v>
      </c>
      <c r="F34" s="101">
        <v>45</v>
      </c>
      <c r="G34" s="102">
        <v>92</v>
      </c>
      <c r="H34" s="102">
        <v>92</v>
      </c>
      <c r="I34" s="99">
        <v>92</v>
      </c>
      <c r="J34" s="99">
        <v>100</v>
      </c>
      <c r="K34" s="99">
        <v>100</v>
      </c>
      <c r="L34" s="99">
        <v>100</v>
      </c>
      <c r="M34" s="99">
        <v>100</v>
      </c>
      <c r="N34" s="99">
        <v>100</v>
      </c>
      <c r="O34" s="88">
        <f t="shared" si="2"/>
        <v>100</v>
      </c>
      <c r="P34" s="85">
        <f t="shared" si="2"/>
        <v>100</v>
      </c>
    </row>
    <row r="35" spans="1:16" ht="31.5" x14ac:dyDescent="0.25">
      <c r="A35" s="23" t="s">
        <v>155</v>
      </c>
      <c r="B35" s="80" t="s">
        <v>156</v>
      </c>
      <c r="C35" s="100" t="s">
        <v>98</v>
      </c>
      <c r="D35" s="22">
        <v>0.02</v>
      </c>
      <c r="E35" s="81" t="s">
        <v>103</v>
      </c>
      <c r="F35" s="101">
        <v>1</v>
      </c>
      <c r="G35" s="95">
        <v>96</v>
      </c>
      <c r="H35" s="95">
        <v>96.5</v>
      </c>
      <c r="I35" s="96">
        <v>97</v>
      </c>
      <c r="J35" s="96">
        <v>97</v>
      </c>
      <c r="K35" s="96">
        <v>98</v>
      </c>
      <c r="L35" s="96">
        <v>98</v>
      </c>
      <c r="M35" s="96">
        <v>98</v>
      </c>
      <c r="N35" s="96">
        <v>98</v>
      </c>
      <c r="O35" s="88">
        <f t="shared" si="2"/>
        <v>98</v>
      </c>
      <c r="P35" s="85">
        <f t="shared" si="2"/>
        <v>98</v>
      </c>
    </row>
    <row r="36" spans="1:16" ht="94.5" x14ac:dyDescent="0.25">
      <c r="A36" s="23" t="s">
        <v>157</v>
      </c>
      <c r="B36" s="80" t="s">
        <v>158</v>
      </c>
      <c r="C36" s="81" t="s">
        <v>98</v>
      </c>
      <c r="D36" s="22">
        <v>0.02</v>
      </c>
      <c r="E36" s="81" t="s">
        <v>103</v>
      </c>
      <c r="F36" s="81" t="s">
        <v>128</v>
      </c>
      <c r="G36" s="95">
        <v>2.5</v>
      </c>
      <c r="H36" s="95">
        <v>3</v>
      </c>
      <c r="I36" s="96">
        <v>3.4</v>
      </c>
      <c r="J36" s="96">
        <v>2.4</v>
      </c>
      <c r="K36" s="96">
        <v>2.8</v>
      </c>
      <c r="L36" s="96">
        <v>2.8</v>
      </c>
      <c r="M36" s="96">
        <v>2.8</v>
      </c>
      <c r="N36" s="96">
        <v>2.8</v>
      </c>
      <c r="O36" s="88">
        <f t="shared" si="2"/>
        <v>2.8</v>
      </c>
      <c r="P36" s="85">
        <f t="shared" si="2"/>
        <v>2.8</v>
      </c>
    </row>
    <row r="37" spans="1:16" s="58" customFormat="1" x14ac:dyDescent="0.25">
      <c r="A37" s="407" t="s">
        <v>159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88"/>
      <c r="P37" s="85"/>
    </row>
    <row r="38" spans="1:16" ht="31.5" x14ac:dyDescent="0.25">
      <c r="A38" s="103" t="s">
        <v>160</v>
      </c>
      <c r="B38" s="80" t="s">
        <v>161</v>
      </c>
      <c r="C38" s="22" t="s">
        <v>98</v>
      </c>
      <c r="D38" s="22">
        <v>0.03</v>
      </c>
      <c r="E38" s="82" t="s">
        <v>103</v>
      </c>
      <c r="F38" s="81">
        <v>70</v>
      </c>
      <c r="G38" s="95">
        <v>75</v>
      </c>
      <c r="H38" s="95">
        <v>75</v>
      </c>
      <c r="I38" s="104">
        <v>75</v>
      </c>
      <c r="J38" s="104">
        <v>93</v>
      </c>
      <c r="K38" s="104">
        <v>93</v>
      </c>
      <c r="L38" s="104">
        <v>75</v>
      </c>
      <c r="M38" s="104">
        <v>75</v>
      </c>
      <c r="N38" s="104">
        <v>75</v>
      </c>
      <c r="O38" s="88">
        <f t="shared" si="2"/>
        <v>75</v>
      </c>
      <c r="P38" s="85">
        <f t="shared" si="2"/>
        <v>75</v>
      </c>
    </row>
    <row r="39" spans="1:16" ht="31.5" x14ac:dyDescent="0.25">
      <c r="A39" s="103" t="s">
        <v>162</v>
      </c>
      <c r="B39" s="105" t="s">
        <v>163</v>
      </c>
      <c r="C39" s="24" t="s">
        <v>98</v>
      </c>
      <c r="D39" s="24">
        <v>0.03</v>
      </c>
      <c r="E39" s="106" t="s">
        <v>103</v>
      </c>
      <c r="F39" s="87"/>
      <c r="G39" s="102">
        <v>67</v>
      </c>
      <c r="H39" s="102">
        <v>70</v>
      </c>
      <c r="I39" s="84">
        <v>72</v>
      </c>
      <c r="J39" s="84">
        <v>72</v>
      </c>
      <c r="K39" s="84">
        <v>72</v>
      </c>
      <c r="L39" s="84">
        <v>72</v>
      </c>
      <c r="M39" s="84">
        <v>72</v>
      </c>
      <c r="N39" s="84">
        <v>72</v>
      </c>
      <c r="O39" s="88">
        <f t="shared" si="2"/>
        <v>72</v>
      </c>
      <c r="P39" s="85">
        <f t="shared" si="2"/>
        <v>72</v>
      </c>
    </row>
    <row r="40" spans="1:16" ht="31.5" x14ac:dyDescent="0.25">
      <c r="A40" s="103" t="s">
        <v>164</v>
      </c>
      <c r="B40" s="105" t="s">
        <v>165</v>
      </c>
      <c r="C40" s="22" t="s">
        <v>98</v>
      </c>
      <c r="D40" s="22">
        <v>0.03</v>
      </c>
      <c r="E40" s="82" t="s">
        <v>103</v>
      </c>
      <c r="F40" s="81" t="s">
        <v>128</v>
      </c>
      <c r="G40" s="95">
        <v>15</v>
      </c>
      <c r="H40" s="95">
        <v>15</v>
      </c>
      <c r="I40" s="104">
        <v>16.5</v>
      </c>
      <c r="J40" s="104">
        <v>18.3</v>
      </c>
      <c r="K40" s="104">
        <v>19.100000000000001</v>
      </c>
      <c r="L40" s="104">
        <v>19.5</v>
      </c>
      <c r="M40" s="104">
        <v>19.5</v>
      </c>
      <c r="N40" s="104">
        <v>19.5</v>
      </c>
      <c r="O40" s="88">
        <f t="shared" si="2"/>
        <v>19.5</v>
      </c>
      <c r="P40" s="85">
        <f t="shared" si="2"/>
        <v>19.5</v>
      </c>
    </row>
    <row r="41" spans="1:16" s="58" customFormat="1" x14ac:dyDescent="0.25">
      <c r="A41" s="407" t="s">
        <v>166</v>
      </c>
      <c r="B41" s="407"/>
      <c r="C41" s="407"/>
      <c r="D41" s="407"/>
      <c r="E41" s="407"/>
      <c r="F41" s="407"/>
      <c r="G41" s="407"/>
      <c r="H41" s="407"/>
      <c r="I41" s="407"/>
      <c r="J41" s="407"/>
      <c r="K41" s="407"/>
      <c r="L41" s="407"/>
      <c r="M41" s="407"/>
      <c r="N41" s="407"/>
      <c r="O41" s="88">
        <f t="shared" si="2"/>
        <v>0</v>
      </c>
      <c r="P41" s="85">
        <f t="shared" si="2"/>
        <v>0</v>
      </c>
    </row>
    <row r="42" spans="1:16" ht="63" x14ac:dyDescent="0.25">
      <c r="A42" s="103" t="s">
        <v>167</v>
      </c>
      <c r="B42" s="105" t="s">
        <v>168</v>
      </c>
      <c r="C42" s="22" t="s">
        <v>98</v>
      </c>
      <c r="D42" s="22">
        <v>0.03</v>
      </c>
      <c r="E42" s="82" t="s">
        <v>103</v>
      </c>
      <c r="F42" s="81">
        <v>78.400000000000006</v>
      </c>
      <c r="G42" s="104">
        <v>80.2</v>
      </c>
      <c r="H42" s="104">
        <v>80.400000000000006</v>
      </c>
      <c r="I42" s="104">
        <v>80.5</v>
      </c>
      <c r="J42" s="104">
        <v>80.5</v>
      </c>
      <c r="K42" s="104">
        <v>80.5</v>
      </c>
      <c r="L42" s="104">
        <v>80.5</v>
      </c>
      <c r="M42" s="104">
        <v>80.5</v>
      </c>
      <c r="N42" s="104">
        <v>80.5</v>
      </c>
      <c r="O42" s="88">
        <f t="shared" si="2"/>
        <v>80.5</v>
      </c>
      <c r="P42" s="85">
        <f t="shared" si="2"/>
        <v>80.5</v>
      </c>
    </row>
    <row r="43" spans="1:16" s="58" customFormat="1" x14ac:dyDescent="0.25">
      <c r="A43" s="407" t="s">
        <v>169</v>
      </c>
      <c r="B43" s="407"/>
      <c r="C43" s="407"/>
      <c r="D43" s="407"/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90"/>
    </row>
    <row r="44" spans="1:16" s="58" customFormat="1" x14ac:dyDescent="0.25">
      <c r="A44" s="407" t="s">
        <v>170</v>
      </c>
      <c r="B44" s="407"/>
      <c r="C44" s="407"/>
      <c r="D44" s="407"/>
      <c r="E44" s="407"/>
      <c r="F44" s="407"/>
      <c r="G44" s="407"/>
      <c r="H44" s="407"/>
      <c r="I44" s="407"/>
      <c r="J44" s="407"/>
      <c r="K44" s="407"/>
      <c r="L44" s="407"/>
      <c r="M44" s="407"/>
      <c r="N44" s="407"/>
      <c r="O44" s="90"/>
    </row>
    <row r="45" spans="1:16" s="58" customFormat="1" x14ac:dyDescent="0.25">
      <c r="A45" s="407" t="s">
        <v>171</v>
      </c>
      <c r="B45" s="407"/>
      <c r="C45" s="407"/>
      <c r="D45" s="407"/>
      <c r="E45" s="407"/>
      <c r="F45" s="407"/>
      <c r="G45" s="407"/>
      <c r="H45" s="407"/>
      <c r="I45" s="407"/>
      <c r="J45" s="407"/>
      <c r="K45" s="407"/>
      <c r="L45" s="407"/>
      <c r="M45" s="407"/>
      <c r="N45" s="407"/>
      <c r="O45" s="90"/>
    </row>
    <row r="46" spans="1:16" ht="31.5" x14ac:dyDescent="0.25">
      <c r="A46" s="23" t="s">
        <v>172</v>
      </c>
      <c r="B46" s="80" t="s">
        <v>173</v>
      </c>
      <c r="C46" s="100" t="s">
        <v>98</v>
      </c>
      <c r="D46" s="22">
        <v>0.04</v>
      </c>
      <c r="E46" s="81" t="s">
        <v>103</v>
      </c>
      <c r="F46" s="88">
        <v>97.09</v>
      </c>
      <c r="G46" s="82">
        <v>82.9</v>
      </c>
      <c r="H46" s="82">
        <v>82.9</v>
      </c>
      <c r="I46" s="82">
        <v>93.2</v>
      </c>
      <c r="J46" s="82">
        <v>93.7</v>
      </c>
      <c r="K46" s="82">
        <v>94</v>
      </c>
      <c r="L46" s="82">
        <v>94</v>
      </c>
      <c r="M46" s="82">
        <v>94</v>
      </c>
      <c r="N46" s="82">
        <v>94</v>
      </c>
      <c r="O46" s="107">
        <v>94</v>
      </c>
      <c r="P46" s="108">
        <f>O46</f>
        <v>94</v>
      </c>
    </row>
    <row r="47" spans="1:16" s="58" customFormat="1" x14ac:dyDescent="0.25">
      <c r="A47" s="407" t="s">
        <v>174</v>
      </c>
      <c r="B47" s="407"/>
      <c r="C47" s="407"/>
      <c r="D47" s="407"/>
      <c r="E47" s="407"/>
      <c r="F47" s="407"/>
      <c r="G47" s="407"/>
      <c r="H47" s="407"/>
      <c r="I47" s="407"/>
      <c r="J47" s="407"/>
      <c r="K47" s="407"/>
      <c r="L47" s="407"/>
      <c r="M47" s="407"/>
      <c r="N47" s="407"/>
      <c r="O47" s="90"/>
      <c r="P47" s="70"/>
    </row>
    <row r="48" spans="1:16" ht="31.5" x14ac:dyDescent="0.25">
      <c r="A48" s="23" t="s">
        <v>175</v>
      </c>
      <c r="B48" s="109" t="s">
        <v>176</v>
      </c>
      <c r="C48" s="100" t="s">
        <v>98</v>
      </c>
      <c r="D48" s="22">
        <v>0.04</v>
      </c>
      <c r="E48" s="82" t="s">
        <v>103</v>
      </c>
      <c r="F48" s="110">
        <v>134</v>
      </c>
      <c r="G48" s="82">
        <v>73</v>
      </c>
      <c r="H48" s="82">
        <v>74</v>
      </c>
      <c r="I48" s="82">
        <v>89</v>
      </c>
      <c r="J48" s="82">
        <v>90</v>
      </c>
      <c r="K48" s="82">
        <v>92</v>
      </c>
      <c r="L48" s="82">
        <v>95</v>
      </c>
      <c r="M48" s="82">
        <v>95</v>
      </c>
      <c r="N48" s="82">
        <v>95</v>
      </c>
      <c r="O48" s="107">
        <v>95</v>
      </c>
      <c r="P48" s="108">
        <f>O48</f>
        <v>95</v>
      </c>
    </row>
    <row r="49" spans="1:16" ht="47.25" x14ac:dyDescent="0.25">
      <c r="A49" s="23" t="s">
        <v>177</v>
      </c>
      <c r="B49" s="109" t="s">
        <v>178</v>
      </c>
      <c r="C49" s="100" t="s">
        <v>98</v>
      </c>
      <c r="D49" s="22">
        <v>0.04</v>
      </c>
      <c r="E49" s="81" t="s">
        <v>103</v>
      </c>
      <c r="F49" s="81">
        <v>15.6</v>
      </c>
      <c r="G49" s="82">
        <v>70</v>
      </c>
      <c r="H49" s="82">
        <v>70</v>
      </c>
      <c r="I49" s="82">
        <v>95</v>
      </c>
      <c r="J49" s="82">
        <v>97</v>
      </c>
      <c r="K49" s="82">
        <v>97</v>
      </c>
      <c r="L49" s="82">
        <v>98</v>
      </c>
      <c r="M49" s="82">
        <v>98</v>
      </c>
      <c r="N49" s="82">
        <v>98</v>
      </c>
      <c r="O49" s="107">
        <v>98</v>
      </c>
      <c r="P49" s="108">
        <f>O49</f>
        <v>98</v>
      </c>
    </row>
    <row r="50" spans="1:16" s="58" customFormat="1" x14ac:dyDescent="0.25">
      <c r="A50" s="407" t="s">
        <v>179</v>
      </c>
      <c r="B50" s="407"/>
      <c r="C50" s="407"/>
      <c r="D50" s="407"/>
      <c r="E50" s="407"/>
      <c r="F50" s="407"/>
      <c r="G50" s="407"/>
      <c r="H50" s="407"/>
      <c r="I50" s="407"/>
      <c r="J50" s="407"/>
      <c r="K50" s="407"/>
      <c r="L50" s="407"/>
      <c r="M50" s="407"/>
      <c r="N50" s="407"/>
      <c r="O50" s="90"/>
    </row>
    <row r="51" spans="1:16" s="58" customFormat="1" x14ac:dyDescent="0.25">
      <c r="A51" s="407" t="s">
        <v>180</v>
      </c>
      <c r="B51" s="407"/>
      <c r="C51" s="407"/>
      <c r="D51" s="407"/>
      <c r="E51" s="407"/>
      <c r="F51" s="407"/>
      <c r="G51" s="407"/>
      <c r="H51" s="407"/>
      <c r="I51" s="407"/>
      <c r="J51" s="407"/>
      <c r="K51" s="407"/>
      <c r="L51" s="407"/>
      <c r="M51" s="407"/>
      <c r="N51" s="407"/>
      <c r="O51" s="90"/>
    </row>
    <row r="52" spans="1:16" s="58" customFormat="1" x14ac:dyDescent="0.25">
      <c r="A52" s="407" t="s">
        <v>181</v>
      </c>
      <c r="B52" s="407"/>
      <c r="C52" s="407"/>
      <c r="D52" s="407"/>
      <c r="E52" s="407"/>
      <c r="F52" s="407"/>
      <c r="G52" s="407"/>
      <c r="H52" s="407"/>
      <c r="I52" s="407"/>
      <c r="J52" s="407"/>
      <c r="K52" s="407"/>
      <c r="L52" s="407"/>
      <c r="M52" s="407"/>
      <c r="N52" s="407"/>
      <c r="O52" s="90"/>
    </row>
    <row r="53" spans="1:16" ht="31.5" x14ac:dyDescent="0.25">
      <c r="A53" s="111" t="s">
        <v>182</v>
      </c>
      <c r="B53" s="112" t="s">
        <v>183</v>
      </c>
      <c r="C53" s="113" t="s">
        <v>184</v>
      </c>
      <c r="D53" s="114">
        <v>0.03</v>
      </c>
      <c r="E53" s="115" t="s">
        <v>21</v>
      </c>
      <c r="F53" s="116"/>
      <c r="G53" s="117">
        <v>1460</v>
      </c>
      <c r="H53" s="117">
        <v>1470</v>
      </c>
      <c r="I53" s="113">
        <v>1470</v>
      </c>
      <c r="J53" s="113">
        <v>2863</v>
      </c>
      <c r="K53" s="113">
        <v>3174</v>
      </c>
      <c r="L53" s="113">
        <v>3205</v>
      </c>
      <c r="M53" s="118">
        <v>3199</v>
      </c>
      <c r="N53" s="118">
        <f t="shared" ref="N53:P68" si="3">M53</f>
        <v>3199</v>
      </c>
      <c r="O53" s="118">
        <f t="shared" si="3"/>
        <v>3199</v>
      </c>
      <c r="P53" s="119">
        <f>O53</f>
        <v>3199</v>
      </c>
    </row>
    <row r="54" spans="1:16" ht="31.5" x14ac:dyDescent="0.25">
      <c r="A54" s="113" t="s">
        <v>185</v>
      </c>
      <c r="B54" s="112" t="s">
        <v>186</v>
      </c>
      <c r="C54" s="113" t="s">
        <v>184</v>
      </c>
      <c r="D54" s="113">
        <v>0.01</v>
      </c>
      <c r="E54" s="115" t="s">
        <v>21</v>
      </c>
      <c r="F54" s="116"/>
      <c r="G54" s="117">
        <v>28870</v>
      </c>
      <c r="H54" s="117">
        <v>29600</v>
      </c>
      <c r="I54" s="113">
        <v>30690</v>
      </c>
      <c r="J54" s="113">
        <v>32180</v>
      </c>
      <c r="K54" s="113">
        <v>33390</v>
      </c>
      <c r="L54" s="113">
        <v>38561</v>
      </c>
      <c r="M54" s="120">
        <v>38561</v>
      </c>
      <c r="N54" s="120">
        <f t="shared" si="3"/>
        <v>38561</v>
      </c>
      <c r="O54" s="120">
        <f t="shared" si="3"/>
        <v>38561</v>
      </c>
      <c r="P54" s="119">
        <f t="shared" si="3"/>
        <v>38561</v>
      </c>
    </row>
    <row r="55" spans="1:16" ht="63" x14ac:dyDescent="0.25">
      <c r="A55" s="111" t="s">
        <v>187</v>
      </c>
      <c r="B55" s="112" t="s">
        <v>188</v>
      </c>
      <c r="C55" s="113" t="s">
        <v>184</v>
      </c>
      <c r="D55" s="113">
        <v>0.01</v>
      </c>
      <c r="E55" s="115" t="s">
        <v>21</v>
      </c>
      <c r="F55" s="116"/>
      <c r="G55" s="117">
        <v>17972</v>
      </c>
      <c r="H55" s="117">
        <v>18638</v>
      </c>
      <c r="I55" s="113">
        <v>19328</v>
      </c>
      <c r="J55" s="113">
        <v>21911</v>
      </c>
      <c r="K55" s="113">
        <v>24405</v>
      </c>
      <c r="L55" s="113">
        <v>28687</v>
      </c>
      <c r="M55" s="120">
        <f>L55</f>
        <v>28687</v>
      </c>
      <c r="N55" s="120">
        <f t="shared" si="3"/>
        <v>28687</v>
      </c>
      <c r="O55" s="120">
        <f t="shared" si="3"/>
        <v>28687</v>
      </c>
      <c r="P55" s="119">
        <f t="shared" si="3"/>
        <v>28687</v>
      </c>
    </row>
    <row r="56" spans="1:16" ht="31.5" x14ac:dyDescent="0.25">
      <c r="A56" s="23" t="s">
        <v>189</v>
      </c>
      <c r="B56" s="109" t="s">
        <v>190</v>
      </c>
      <c r="C56" s="81" t="s">
        <v>191</v>
      </c>
      <c r="D56" s="81">
        <v>0.02</v>
      </c>
      <c r="E56" s="121" t="s">
        <v>103</v>
      </c>
      <c r="F56" s="83"/>
      <c r="G56" s="5">
        <v>25.02</v>
      </c>
      <c r="H56" s="5">
        <v>25</v>
      </c>
      <c r="I56" s="81">
        <v>25</v>
      </c>
      <c r="J56" s="81">
        <v>23.9</v>
      </c>
      <c r="K56" s="81">
        <v>24</v>
      </c>
      <c r="L56" s="81">
        <v>24</v>
      </c>
      <c r="M56" s="81">
        <v>24</v>
      </c>
      <c r="N56" s="81">
        <v>24</v>
      </c>
      <c r="O56" s="81">
        <v>24</v>
      </c>
      <c r="P56" s="119">
        <f t="shared" si="3"/>
        <v>24</v>
      </c>
    </row>
    <row r="57" spans="1:16" ht="31.5" x14ac:dyDescent="0.25">
      <c r="A57" s="23" t="s">
        <v>192</v>
      </c>
      <c r="B57" s="109" t="s">
        <v>193</v>
      </c>
      <c r="C57" s="81" t="s">
        <v>191</v>
      </c>
      <c r="D57" s="81">
        <v>0.02</v>
      </c>
      <c r="E57" s="121" t="s">
        <v>103</v>
      </c>
      <c r="F57" s="83"/>
      <c r="G57" s="5">
        <v>18.82</v>
      </c>
      <c r="H57" s="5">
        <v>18.82</v>
      </c>
      <c r="I57" s="81">
        <v>18.8</v>
      </c>
      <c r="J57" s="81">
        <v>17</v>
      </c>
      <c r="K57" s="81">
        <v>17</v>
      </c>
      <c r="L57" s="81">
        <v>17</v>
      </c>
      <c r="M57" s="81">
        <v>17</v>
      </c>
      <c r="N57" s="81">
        <v>17</v>
      </c>
      <c r="O57" s="81">
        <v>17</v>
      </c>
      <c r="P57" s="119">
        <f t="shared" si="3"/>
        <v>17</v>
      </c>
    </row>
    <row r="58" spans="1:16" ht="78.75" x14ac:dyDescent="0.25">
      <c r="A58" s="81" t="s">
        <v>194</v>
      </c>
      <c r="B58" s="109" t="s">
        <v>195</v>
      </c>
      <c r="C58" s="81" t="s">
        <v>196</v>
      </c>
      <c r="D58" s="81">
        <v>0.02</v>
      </c>
      <c r="E58" s="121" t="s">
        <v>103</v>
      </c>
      <c r="F58" s="83"/>
      <c r="G58" s="5">
        <v>0.7</v>
      </c>
      <c r="H58" s="5">
        <v>0.7</v>
      </c>
      <c r="I58" s="81">
        <v>0.7</v>
      </c>
      <c r="J58" s="81">
        <v>0.7</v>
      </c>
      <c r="K58" s="81">
        <v>0.7</v>
      </c>
      <c r="L58" s="81">
        <v>0.7</v>
      </c>
      <c r="M58" s="81">
        <v>0.7</v>
      </c>
      <c r="N58" s="81">
        <v>0.7</v>
      </c>
      <c r="O58" s="81">
        <v>0.7</v>
      </c>
      <c r="P58" s="92">
        <f t="shared" si="3"/>
        <v>0.7</v>
      </c>
    </row>
    <row r="59" spans="1:16" ht="31.5" x14ac:dyDescent="0.25">
      <c r="A59" s="81" t="s">
        <v>197</v>
      </c>
      <c r="B59" s="109" t="s">
        <v>198</v>
      </c>
      <c r="C59" s="81" t="s">
        <v>133</v>
      </c>
      <c r="D59" s="81">
        <v>0.03</v>
      </c>
      <c r="E59" s="121" t="s">
        <v>21</v>
      </c>
      <c r="F59" s="83"/>
      <c r="G59" s="81">
        <v>18</v>
      </c>
      <c r="H59" s="81">
        <v>18</v>
      </c>
      <c r="I59" s="81">
        <v>18</v>
      </c>
      <c r="J59" s="81">
        <v>14</v>
      </c>
      <c r="K59" s="81">
        <v>14</v>
      </c>
      <c r="L59" s="81">
        <v>14</v>
      </c>
      <c r="M59" s="81">
        <v>14</v>
      </c>
      <c r="N59" s="81">
        <v>14</v>
      </c>
      <c r="O59" s="81">
        <v>14</v>
      </c>
      <c r="P59" s="119">
        <f t="shared" si="3"/>
        <v>14</v>
      </c>
    </row>
    <row r="60" spans="1:16" ht="66" customHeight="1" x14ac:dyDescent="0.25">
      <c r="A60" s="81" t="s">
        <v>199</v>
      </c>
      <c r="B60" s="109" t="s">
        <v>200</v>
      </c>
      <c r="C60" s="81" t="s">
        <v>201</v>
      </c>
      <c r="D60" s="81">
        <v>0.01</v>
      </c>
      <c r="E60" s="121" t="s">
        <v>202</v>
      </c>
      <c r="F60" s="83"/>
      <c r="G60" s="81">
        <v>5</v>
      </c>
      <c r="H60" s="81">
        <v>5</v>
      </c>
      <c r="I60" s="81">
        <v>5</v>
      </c>
      <c r="J60" s="81">
        <v>5</v>
      </c>
      <c r="K60" s="81">
        <v>5</v>
      </c>
      <c r="L60" s="81">
        <v>5</v>
      </c>
      <c r="M60" s="81">
        <v>5</v>
      </c>
      <c r="N60" s="81">
        <v>5</v>
      </c>
      <c r="O60" s="81">
        <v>5</v>
      </c>
      <c r="P60" s="119">
        <f t="shared" si="3"/>
        <v>5</v>
      </c>
    </row>
    <row r="61" spans="1:16" ht="47.25" x14ac:dyDescent="0.25">
      <c r="A61" s="81" t="s">
        <v>203</v>
      </c>
      <c r="B61" s="109" t="s">
        <v>204</v>
      </c>
      <c r="C61" s="81" t="s">
        <v>201</v>
      </c>
      <c r="D61" s="81">
        <v>0.01</v>
      </c>
      <c r="E61" s="121" t="s">
        <v>202</v>
      </c>
      <c r="F61" s="83"/>
      <c r="G61" s="22">
        <v>5</v>
      </c>
      <c r="H61" s="22">
        <v>5</v>
      </c>
      <c r="I61" s="22">
        <v>5</v>
      </c>
      <c r="J61" s="22">
        <v>5</v>
      </c>
      <c r="K61" s="22">
        <v>5</v>
      </c>
      <c r="L61" s="22">
        <v>5</v>
      </c>
      <c r="M61" s="22">
        <v>5</v>
      </c>
      <c r="N61" s="22">
        <v>5</v>
      </c>
      <c r="O61" s="22">
        <v>5</v>
      </c>
      <c r="P61" s="119">
        <f t="shared" si="3"/>
        <v>5</v>
      </c>
    </row>
    <row r="62" spans="1:16" ht="126" x14ac:dyDescent="0.25">
      <c r="A62" s="81" t="s">
        <v>205</v>
      </c>
      <c r="B62" s="109" t="s">
        <v>206</v>
      </c>
      <c r="C62" s="81" t="s">
        <v>201</v>
      </c>
      <c r="D62" s="81">
        <v>0.01</v>
      </c>
      <c r="E62" s="121" t="s">
        <v>202</v>
      </c>
      <c r="F62" s="83"/>
      <c r="G62" s="22">
        <v>5</v>
      </c>
      <c r="H62" s="22">
        <v>5</v>
      </c>
      <c r="I62" s="22">
        <v>5</v>
      </c>
      <c r="J62" s="22">
        <v>5</v>
      </c>
      <c r="K62" s="22">
        <v>5</v>
      </c>
      <c r="L62" s="22">
        <v>5</v>
      </c>
      <c r="M62" s="22">
        <v>5</v>
      </c>
      <c r="N62" s="22">
        <v>5</v>
      </c>
      <c r="O62" s="22">
        <v>5</v>
      </c>
      <c r="P62" s="119">
        <f t="shared" si="3"/>
        <v>5</v>
      </c>
    </row>
    <row r="63" spans="1:16" ht="94.5" x14ac:dyDescent="0.25">
      <c r="A63" s="81" t="s">
        <v>207</v>
      </c>
      <c r="B63" s="109" t="s">
        <v>208</v>
      </c>
      <c r="C63" s="81" t="s">
        <v>201</v>
      </c>
      <c r="D63" s="81">
        <v>0.01</v>
      </c>
      <c r="E63" s="121" t="s">
        <v>202</v>
      </c>
      <c r="F63" s="83"/>
      <c r="G63" s="22">
        <v>5</v>
      </c>
      <c r="H63" s="22">
        <v>5</v>
      </c>
      <c r="I63" s="22">
        <v>5</v>
      </c>
      <c r="J63" s="22">
        <v>5</v>
      </c>
      <c r="K63" s="22">
        <v>5</v>
      </c>
      <c r="L63" s="22">
        <v>5</v>
      </c>
      <c r="M63" s="22">
        <v>5</v>
      </c>
      <c r="N63" s="22">
        <v>5</v>
      </c>
      <c r="O63" s="22">
        <v>5</v>
      </c>
      <c r="P63" s="119">
        <f t="shared" si="3"/>
        <v>5</v>
      </c>
    </row>
    <row r="64" spans="1:16" ht="47.25" x14ac:dyDescent="0.25">
      <c r="A64" s="81" t="s">
        <v>209</v>
      </c>
      <c r="B64" s="122" t="s">
        <v>210</v>
      </c>
      <c r="C64" s="81" t="s">
        <v>201</v>
      </c>
      <c r="D64" s="81">
        <v>0.01</v>
      </c>
      <c r="E64" s="121" t="s">
        <v>202</v>
      </c>
      <c r="F64" s="83"/>
      <c r="G64" s="22">
        <v>5</v>
      </c>
      <c r="H64" s="22">
        <v>5</v>
      </c>
      <c r="I64" s="22">
        <v>5</v>
      </c>
      <c r="J64" s="22">
        <v>5</v>
      </c>
      <c r="K64" s="22">
        <v>5</v>
      </c>
      <c r="L64" s="22">
        <v>5</v>
      </c>
      <c r="M64" s="22">
        <v>5</v>
      </c>
      <c r="N64" s="22">
        <v>5</v>
      </c>
      <c r="O64" s="22">
        <v>5</v>
      </c>
      <c r="P64" s="119">
        <f t="shared" si="3"/>
        <v>5</v>
      </c>
    </row>
    <row r="65" spans="1:16" ht="47.25" x14ac:dyDescent="0.25">
      <c r="A65" s="81" t="s">
        <v>211</v>
      </c>
      <c r="B65" s="122" t="s">
        <v>212</v>
      </c>
      <c r="C65" s="81" t="s">
        <v>201</v>
      </c>
      <c r="D65" s="81">
        <v>0.01</v>
      </c>
      <c r="E65" s="121" t="s">
        <v>202</v>
      </c>
      <c r="F65" s="83"/>
      <c r="G65" s="22">
        <v>5</v>
      </c>
      <c r="H65" s="22">
        <v>5</v>
      </c>
      <c r="I65" s="22">
        <v>5</v>
      </c>
      <c r="J65" s="22">
        <v>5</v>
      </c>
      <c r="K65" s="22">
        <v>5</v>
      </c>
      <c r="L65" s="22">
        <v>5</v>
      </c>
      <c r="M65" s="22">
        <v>5</v>
      </c>
      <c r="N65" s="22">
        <v>5</v>
      </c>
      <c r="O65" s="22">
        <v>5</v>
      </c>
      <c r="P65" s="119">
        <f t="shared" si="3"/>
        <v>5</v>
      </c>
    </row>
    <row r="66" spans="1:16" ht="47.25" x14ac:dyDescent="0.25">
      <c r="A66" s="23" t="s">
        <v>213</v>
      </c>
      <c r="B66" s="109" t="s">
        <v>214</v>
      </c>
      <c r="C66" s="81" t="s">
        <v>201</v>
      </c>
      <c r="D66" s="81">
        <v>0.01</v>
      </c>
      <c r="E66" s="121" t="s">
        <v>202</v>
      </c>
      <c r="F66" s="83"/>
      <c r="G66" s="22">
        <v>5</v>
      </c>
      <c r="H66" s="22">
        <v>5</v>
      </c>
      <c r="I66" s="22">
        <v>5</v>
      </c>
      <c r="J66" s="22">
        <v>5</v>
      </c>
      <c r="K66" s="22">
        <v>5</v>
      </c>
      <c r="L66" s="22">
        <v>5</v>
      </c>
      <c r="M66" s="22">
        <v>5</v>
      </c>
      <c r="N66" s="22">
        <v>5</v>
      </c>
      <c r="O66" s="22">
        <v>5</v>
      </c>
      <c r="P66" s="119">
        <f t="shared" si="3"/>
        <v>5</v>
      </c>
    </row>
    <row r="67" spans="1:16" ht="47.25" x14ac:dyDescent="0.25">
      <c r="A67" s="23" t="s">
        <v>215</v>
      </c>
      <c r="B67" s="109" t="s">
        <v>216</v>
      </c>
      <c r="C67" s="81" t="s">
        <v>201</v>
      </c>
      <c r="D67" s="81">
        <v>0.01</v>
      </c>
      <c r="E67" s="121" t="s">
        <v>202</v>
      </c>
      <c r="F67" s="83"/>
      <c r="G67" s="22">
        <v>5</v>
      </c>
      <c r="H67" s="22">
        <v>5</v>
      </c>
      <c r="I67" s="22">
        <v>5</v>
      </c>
      <c r="J67" s="22">
        <v>5</v>
      </c>
      <c r="K67" s="22">
        <v>5</v>
      </c>
      <c r="L67" s="22">
        <v>5</v>
      </c>
      <c r="M67" s="22">
        <v>5</v>
      </c>
      <c r="N67" s="22">
        <v>5</v>
      </c>
      <c r="O67" s="22">
        <v>5</v>
      </c>
      <c r="P67" s="119">
        <f t="shared" si="3"/>
        <v>5</v>
      </c>
    </row>
    <row r="68" spans="1:16" ht="47.25" x14ac:dyDescent="0.25">
      <c r="A68" s="23" t="s">
        <v>217</v>
      </c>
      <c r="B68" s="109" t="s">
        <v>218</v>
      </c>
      <c r="C68" s="81" t="s">
        <v>201</v>
      </c>
      <c r="D68" s="81">
        <v>0.01</v>
      </c>
      <c r="E68" s="121" t="s">
        <v>202</v>
      </c>
      <c r="F68" s="83"/>
      <c r="G68" s="22">
        <v>5</v>
      </c>
      <c r="H68" s="22">
        <v>5</v>
      </c>
      <c r="I68" s="22">
        <v>5</v>
      </c>
      <c r="J68" s="22">
        <v>5</v>
      </c>
      <c r="K68" s="22">
        <v>5</v>
      </c>
      <c r="L68" s="22">
        <v>5</v>
      </c>
      <c r="M68" s="22">
        <v>5</v>
      </c>
      <c r="N68" s="22">
        <v>5</v>
      </c>
      <c r="O68" s="22">
        <v>5</v>
      </c>
      <c r="P68" s="119">
        <f t="shared" si="3"/>
        <v>5</v>
      </c>
    </row>
    <row r="69" spans="1:16" ht="47.25" x14ac:dyDescent="0.25">
      <c r="A69" s="23" t="s">
        <v>219</v>
      </c>
      <c r="B69" s="109" t="s">
        <v>220</v>
      </c>
      <c r="C69" s="81" t="s">
        <v>201</v>
      </c>
      <c r="D69" s="81">
        <v>0.01</v>
      </c>
      <c r="E69" s="121" t="s">
        <v>202</v>
      </c>
      <c r="F69" s="83"/>
      <c r="G69" s="22">
        <v>5</v>
      </c>
      <c r="H69" s="22">
        <v>5</v>
      </c>
      <c r="I69" s="22">
        <v>5</v>
      </c>
      <c r="J69" s="22">
        <v>5</v>
      </c>
      <c r="K69" s="22">
        <v>5</v>
      </c>
      <c r="L69" s="22">
        <v>5</v>
      </c>
      <c r="M69" s="22">
        <v>5</v>
      </c>
      <c r="N69" s="22">
        <v>5</v>
      </c>
      <c r="O69" s="22">
        <v>5</v>
      </c>
      <c r="P69" s="119">
        <f t="shared" ref="P69:P70" si="4">O69</f>
        <v>5</v>
      </c>
    </row>
    <row r="70" spans="1:16" ht="47.25" x14ac:dyDescent="0.25">
      <c r="A70" s="23" t="s">
        <v>221</v>
      </c>
      <c r="B70" s="109" t="s">
        <v>222</v>
      </c>
      <c r="C70" s="81" t="s">
        <v>201</v>
      </c>
      <c r="D70" s="81">
        <v>0.01</v>
      </c>
      <c r="E70" s="121" t="s">
        <v>202</v>
      </c>
      <c r="F70" s="83"/>
      <c r="G70" s="22">
        <v>5</v>
      </c>
      <c r="H70" s="22">
        <v>5</v>
      </c>
      <c r="I70" s="22">
        <v>5</v>
      </c>
      <c r="J70" s="22">
        <v>5</v>
      </c>
      <c r="K70" s="22">
        <v>5</v>
      </c>
      <c r="L70" s="22">
        <v>5</v>
      </c>
      <c r="M70" s="22">
        <v>5</v>
      </c>
      <c r="N70" s="22">
        <v>5</v>
      </c>
      <c r="O70" s="22">
        <v>5</v>
      </c>
      <c r="P70" s="119">
        <f t="shared" si="4"/>
        <v>5</v>
      </c>
    </row>
    <row r="71" spans="1:16" s="58" customFormat="1" x14ac:dyDescent="0.25">
      <c r="A71" s="407" t="s">
        <v>223</v>
      </c>
      <c r="B71" s="407"/>
      <c r="C71" s="407"/>
      <c r="D71" s="407"/>
      <c r="E71" s="407"/>
      <c r="F71" s="407"/>
      <c r="G71" s="407"/>
      <c r="H71" s="407"/>
      <c r="I71" s="407"/>
      <c r="J71" s="407"/>
      <c r="K71" s="407"/>
      <c r="L71" s="407"/>
      <c r="M71" s="407"/>
      <c r="N71" s="407"/>
      <c r="O71" s="90"/>
    </row>
    <row r="72" spans="1:16" s="125" customFormat="1" ht="47.25" x14ac:dyDescent="0.25">
      <c r="A72" s="123" t="s">
        <v>224</v>
      </c>
      <c r="B72" s="124" t="s">
        <v>225</v>
      </c>
      <c r="C72" s="24" t="s">
        <v>98</v>
      </c>
      <c r="D72" s="81">
        <v>0.03</v>
      </c>
      <c r="E72" s="81" t="s">
        <v>103</v>
      </c>
      <c r="F72" s="123"/>
      <c r="G72" s="6">
        <v>70</v>
      </c>
      <c r="H72" s="6">
        <v>70</v>
      </c>
      <c r="I72" s="6">
        <v>71</v>
      </c>
      <c r="J72" s="6">
        <v>71</v>
      </c>
      <c r="K72" s="6">
        <v>71</v>
      </c>
      <c r="L72" s="81">
        <v>71</v>
      </c>
      <c r="M72" s="81">
        <v>71</v>
      </c>
      <c r="N72" s="81">
        <v>71</v>
      </c>
      <c r="O72" s="81">
        <v>71</v>
      </c>
      <c r="P72" s="70">
        <f>O72</f>
        <v>71</v>
      </c>
    </row>
    <row r="73" spans="1:16" s="125" customFormat="1" x14ac:dyDescent="0.25">
      <c r="A73" s="408" t="s">
        <v>226</v>
      </c>
      <c r="B73" s="409" t="s">
        <v>227</v>
      </c>
      <c r="C73" s="410" t="s">
        <v>228</v>
      </c>
      <c r="D73" s="406">
        <v>0.03</v>
      </c>
      <c r="E73" s="406" t="s">
        <v>103</v>
      </c>
      <c r="F73" s="123"/>
      <c r="G73" s="406" t="s">
        <v>229</v>
      </c>
      <c r="H73" s="406" t="s">
        <v>230</v>
      </c>
      <c r="I73" s="406" t="s">
        <v>231</v>
      </c>
      <c r="J73" s="406" t="s">
        <v>232</v>
      </c>
      <c r="K73" s="406" t="s">
        <v>233</v>
      </c>
      <c r="L73" s="406" t="s">
        <v>234</v>
      </c>
      <c r="M73" s="406" t="s">
        <v>235</v>
      </c>
      <c r="N73" s="406" t="s">
        <v>235</v>
      </c>
      <c r="O73" s="406" t="s">
        <v>235</v>
      </c>
      <c r="P73" s="402" t="str">
        <f>O73</f>
        <v>89(57)</v>
      </c>
    </row>
    <row r="74" spans="1:16" s="58" customFormat="1" x14ac:dyDescent="0.25">
      <c r="A74" s="408"/>
      <c r="B74" s="409"/>
      <c r="C74" s="410"/>
      <c r="D74" s="406"/>
      <c r="E74" s="406"/>
      <c r="F74" s="123"/>
      <c r="G74" s="406"/>
      <c r="H74" s="406"/>
      <c r="I74" s="406"/>
      <c r="J74" s="406"/>
      <c r="K74" s="406"/>
      <c r="L74" s="406"/>
      <c r="M74" s="406"/>
      <c r="N74" s="406"/>
      <c r="O74" s="406"/>
      <c r="P74" s="403"/>
    </row>
    <row r="76" spans="1:16" x14ac:dyDescent="0.25">
      <c r="A76" s="404" t="s">
        <v>33</v>
      </c>
      <c r="B76" s="404"/>
      <c r="C76" s="404"/>
      <c r="D76" s="404"/>
      <c r="E76" s="404"/>
      <c r="F76" s="404"/>
      <c r="G76" s="404"/>
      <c r="H76" s="404"/>
      <c r="I76" s="404"/>
      <c r="J76" s="405" t="s">
        <v>34</v>
      </c>
      <c r="K76" s="405"/>
      <c r="L76" s="405"/>
      <c r="M76" s="405"/>
      <c r="N76" s="127"/>
      <c r="O76" s="127"/>
    </row>
  </sheetData>
  <mergeCells count="53">
    <mergeCell ref="G1:M1"/>
    <mergeCell ref="A2:M2"/>
    <mergeCell ref="A3:A5"/>
    <mergeCell ref="B3:B5"/>
    <mergeCell ref="C3:C5"/>
    <mergeCell ref="D3:D5"/>
    <mergeCell ref="E3:E5"/>
    <mergeCell ref="F3:F5"/>
    <mergeCell ref="G3:G5"/>
    <mergeCell ref="H3:H5"/>
    <mergeCell ref="A13:N13"/>
    <mergeCell ref="I3:I5"/>
    <mergeCell ref="J3:J5"/>
    <mergeCell ref="K3:K5"/>
    <mergeCell ref="L3:L5"/>
    <mergeCell ref="M3:M5"/>
    <mergeCell ref="N3:N5"/>
    <mergeCell ref="O3:O5"/>
    <mergeCell ref="P3:P5"/>
    <mergeCell ref="A6:N6"/>
    <mergeCell ref="A11:N11"/>
    <mergeCell ref="A12:N12"/>
    <mergeCell ref="A51:N51"/>
    <mergeCell ref="A18:N18"/>
    <mergeCell ref="A19:N19"/>
    <mergeCell ref="A20:N20"/>
    <mergeCell ref="A26:N26"/>
    <mergeCell ref="A37:N37"/>
    <mergeCell ref="A41:N41"/>
    <mergeCell ref="A43:N43"/>
    <mergeCell ref="A44:N44"/>
    <mergeCell ref="A45:N45"/>
    <mergeCell ref="A47:N47"/>
    <mergeCell ref="A50:N50"/>
    <mergeCell ref="A52:N52"/>
    <mergeCell ref="A71:N71"/>
    <mergeCell ref="A73:A74"/>
    <mergeCell ref="B73:B74"/>
    <mergeCell ref="C73:C74"/>
    <mergeCell ref="D73:D74"/>
    <mergeCell ref="E73:E74"/>
    <mergeCell ref="G73:G74"/>
    <mergeCell ref="H73:H74"/>
    <mergeCell ref="I73:I74"/>
    <mergeCell ref="P73:P74"/>
    <mergeCell ref="A76:I76"/>
    <mergeCell ref="J76:M76"/>
    <mergeCell ref="J73:J74"/>
    <mergeCell ref="K73:K74"/>
    <mergeCell ref="L73:L74"/>
    <mergeCell ref="M73:M74"/>
    <mergeCell ref="N73:N74"/>
    <mergeCell ref="O73:O74"/>
  </mergeCells>
  <pageMargins left="0.31496062992125984" right="0.11811023622047245" top="0.55118110236220474" bottom="0.19685039370078741" header="0.31496062992125984" footer="0.31496062992125984"/>
  <pageSetup paperSize="9" scale="60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activeCell="K7" sqref="K7"/>
    </sheetView>
  </sheetViews>
  <sheetFormatPr defaultRowHeight="15.75" x14ac:dyDescent="0.25"/>
  <cols>
    <col min="1" max="1" width="5.140625" style="28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16384" width="9.140625" style="1"/>
  </cols>
  <sheetData>
    <row r="1" spans="1:17" ht="78" customHeight="1" x14ac:dyDescent="0.25">
      <c r="K1" s="129"/>
      <c r="L1" s="129"/>
      <c r="M1" s="423" t="s">
        <v>236</v>
      </c>
      <c r="N1" s="423"/>
      <c r="O1" s="423"/>
      <c r="P1" s="423"/>
      <c r="Q1" s="423"/>
    </row>
    <row r="2" spans="1:17" ht="34.5" customHeight="1" x14ac:dyDescent="0.25">
      <c r="A2" s="424" t="s">
        <v>237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</row>
    <row r="3" spans="1:17" ht="17.25" customHeight="1" x14ac:dyDescent="0.25">
      <c r="A3" s="369" t="s">
        <v>90</v>
      </c>
      <c r="B3" s="369" t="s">
        <v>238</v>
      </c>
      <c r="C3" s="369" t="s">
        <v>92</v>
      </c>
      <c r="D3" s="359" t="s">
        <v>239</v>
      </c>
      <c r="E3" s="359" t="s">
        <v>95</v>
      </c>
      <c r="F3" s="359" t="s">
        <v>240</v>
      </c>
      <c r="G3" s="354" t="s">
        <v>241</v>
      </c>
      <c r="H3" s="360" t="s">
        <v>41</v>
      </c>
      <c r="I3" s="414" t="s">
        <v>242</v>
      </c>
      <c r="J3" s="415"/>
      <c r="K3" s="414" t="s">
        <v>243</v>
      </c>
      <c r="L3" s="416"/>
      <c r="M3" s="416"/>
      <c r="N3" s="416"/>
      <c r="O3" s="416"/>
      <c r="P3" s="416"/>
      <c r="Q3" s="415"/>
    </row>
    <row r="4" spans="1:17" ht="33" customHeight="1" x14ac:dyDescent="0.25">
      <c r="A4" s="369"/>
      <c r="B4" s="369"/>
      <c r="C4" s="369"/>
      <c r="D4" s="359"/>
      <c r="E4" s="359"/>
      <c r="F4" s="359"/>
      <c r="G4" s="373"/>
      <c r="H4" s="362"/>
      <c r="I4" s="5" t="s">
        <v>42</v>
      </c>
      <c r="J4" s="5" t="s">
        <v>43</v>
      </c>
      <c r="K4" s="5" t="s">
        <v>44</v>
      </c>
      <c r="L4" s="5" t="s">
        <v>45</v>
      </c>
      <c r="M4" s="5" t="s">
        <v>46</v>
      </c>
      <c r="N4" s="5" t="s">
        <v>47</v>
      </c>
      <c r="O4" s="5" t="s">
        <v>48</v>
      </c>
      <c r="P4" s="5" t="s">
        <v>49</v>
      </c>
      <c r="Q4" s="8" t="s">
        <v>50</v>
      </c>
    </row>
    <row r="5" spans="1:17" ht="55.15" customHeight="1" x14ac:dyDescent="0.25">
      <c r="A5" s="417" t="s">
        <v>96</v>
      </c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9"/>
    </row>
    <row r="6" spans="1:17" ht="56.25" customHeight="1" x14ac:dyDescent="0.25">
      <c r="A6" s="5">
        <v>1</v>
      </c>
      <c r="B6" s="80" t="s">
        <v>97</v>
      </c>
      <c r="C6" s="22" t="s">
        <v>98</v>
      </c>
      <c r="D6" s="130">
        <v>54.1</v>
      </c>
      <c r="E6" s="88">
        <v>2.34</v>
      </c>
      <c r="F6" s="84">
        <v>94</v>
      </c>
      <c r="G6" s="84">
        <v>94.5</v>
      </c>
      <c r="H6" s="84">
        <v>95</v>
      </c>
      <c r="I6" s="84">
        <v>95</v>
      </c>
      <c r="J6" s="84">
        <v>96</v>
      </c>
      <c r="K6" s="84">
        <v>96.2</v>
      </c>
      <c r="L6" s="84">
        <v>96.3</v>
      </c>
      <c r="M6" s="84">
        <v>96.4</v>
      </c>
      <c r="N6" s="84">
        <v>96.4</v>
      </c>
      <c r="O6" s="84">
        <v>96.5</v>
      </c>
      <c r="P6" s="84">
        <v>96.5</v>
      </c>
      <c r="Q6" s="84">
        <v>96.6</v>
      </c>
    </row>
    <row r="7" spans="1:17" ht="108" customHeight="1" x14ac:dyDescent="0.25">
      <c r="A7" s="6">
        <v>2</v>
      </c>
      <c r="B7" s="80" t="s">
        <v>102</v>
      </c>
      <c r="C7" s="22" t="s">
        <v>98</v>
      </c>
      <c r="D7" s="81" t="e">
        <f>#REF!</f>
        <v>#REF!</v>
      </c>
      <c r="E7" s="88">
        <v>60.5</v>
      </c>
      <c r="F7" s="24">
        <v>82.4</v>
      </c>
      <c r="G7" s="24">
        <v>86.6</v>
      </c>
      <c r="H7" s="24">
        <v>91.3</v>
      </c>
      <c r="I7" s="24">
        <v>100</v>
      </c>
      <c r="J7" s="24">
        <v>100</v>
      </c>
      <c r="K7" s="24">
        <v>100</v>
      </c>
      <c r="L7" s="24">
        <v>100</v>
      </c>
      <c r="M7" s="24">
        <v>100</v>
      </c>
      <c r="N7" s="24">
        <v>100</v>
      </c>
      <c r="O7" s="24">
        <v>100</v>
      </c>
      <c r="P7" s="24">
        <v>100</v>
      </c>
      <c r="Q7" s="24">
        <v>100</v>
      </c>
    </row>
    <row r="8" spans="1:17" ht="89.25" customHeight="1" x14ac:dyDescent="0.25">
      <c r="A8" s="5">
        <v>3</v>
      </c>
      <c r="B8" s="86" t="s">
        <v>105</v>
      </c>
      <c r="C8" s="81" t="s">
        <v>98</v>
      </c>
      <c r="D8" s="131">
        <v>95.6</v>
      </c>
      <c r="E8" s="132">
        <v>96.7</v>
      </c>
      <c r="F8" s="87">
        <v>98.53</v>
      </c>
      <c r="G8" s="87">
        <v>98.04</v>
      </c>
      <c r="H8" s="87">
        <v>98.53</v>
      </c>
      <c r="I8" s="87">
        <v>98.6</v>
      </c>
      <c r="J8" s="87">
        <v>98.6</v>
      </c>
      <c r="K8" s="87">
        <v>100</v>
      </c>
      <c r="L8" s="87">
        <v>100</v>
      </c>
      <c r="M8" s="87">
        <v>100</v>
      </c>
      <c r="N8" s="87">
        <v>100</v>
      </c>
      <c r="O8" s="87">
        <v>100</v>
      </c>
      <c r="P8" s="87">
        <v>100</v>
      </c>
      <c r="Q8" s="87">
        <v>100</v>
      </c>
    </row>
    <row r="9" spans="1:17" ht="85.5" customHeight="1" x14ac:dyDescent="0.25">
      <c r="A9" s="5">
        <v>4</v>
      </c>
      <c r="B9" s="80" t="s">
        <v>107</v>
      </c>
      <c r="C9" s="22" t="s">
        <v>244</v>
      </c>
      <c r="D9" s="131"/>
      <c r="E9" s="132"/>
      <c r="F9" s="89">
        <v>67</v>
      </c>
      <c r="G9" s="89">
        <v>67</v>
      </c>
      <c r="H9" s="89">
        <v>67</v>
      </c>
      <c r="I9" s="89">
        <v>83</v>
      </c>
      <c r="J9" s="89">
        <v>83</v>
      </c>
      <c r="K9" s="89">
        <v>83</v>
      </c>
      <c r="L9" s="89">
        <v>83</v>
      </c>
      <c r="M9" s="89">
        <v>83</v>
      </c>
      <c r="N9" s="89">
        <v>100</v>
      </c>
      <c r="O9" s="89">
        <v>100</v>
      </c>
      <c r="P9" s="89">
        <v>100</v>
      </c>
      <c r="Q9" s="89">
        <v>100</v>
      </c>
    </row>
    <row r="10" spans="1:17" ht="35.25" customHeight="1" x14ac:dyDescent="0.25">
      <c r="A10" s="420" t="s">
        <v>33</v>
      </c>
      <c r="B10" s="420"/>
      <c r="C10" s="420"/>
      <c r="D10" s="420"/>
      <c r="E10" s="420"/>
      <c r="F10" s="133"/>
      <c r="G10" s="58"/>
      <c r="H10" s="58"/>
      <c r="I10" s="58"/>
      <c r="J10" s="58"/>
      <c r="K10" s="58"/>
      <c r="L10" s="58"/>
      <c r="M10" s="421" t="s">
        <v>34</v>
      </c>
      <c r="N10" s="421"/>
      <c r="O10" s="421"/>
      <c r="P10" s="421"/>
      <c r="Q10" s="422"/>
    </row>
    <row r="15" spans="1:17" x14ac:dyDescent="0.25">
      <c r="D15" s="134"/>
      <c r="E15" s="134"/>
      <c r="F15" s="135"/>
      <c r="G15" s="134"/>
    </row>
    <row r="16" spans="1:17" x14ac:dyDescent="0.25">
      <c r="D16" s="136"/>
      <c r="E16" s="137"/>
      <c r="F16" s="138"/>
      <c r="G16" s="137"/>
    </row>
    <row r="17" spans="4:7" x14ac:dyDescent="0.25">
      <c r="D17" s="139"/>
      <c r="E17" s="139"/>
      <c r="F17" s="140"/>
      <c r="G17" s="139"/>
    </row>
  </sheetData>
  <mergeCells count="15"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K3:Q3"/>
    <mergeCell ref="A5:Q5"/>
    <mergeCell ref="A10:E10"/>
    <mergeCell ref="M10:Q10"/>
  </mergeCells>
  <pageMargins left="0.55118110236220474" right="0.35433070866141736" top="0.55118110236220474" bottom="0.19685039370078741" header="0.51181102362204722" footer="0.51181102362204722"/>
  <pageSetup paperSize="9" scale="77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E1" sqref="E1:J1"/>
    </sheetView>
  </sheetViews>
  <sheetFormatPr defaultRowHeight="15.75" x14ac:dyDescent="0.25"/>
  <cols>
    <col min="1" max="1" width="6.28515625" style="128" customWidth="1"/>
    <col min="2" max="2" width="79.140625" style="36" customWidth="1"/>
    <col min="3" max="3" width="12" style="36" customWidth="1"/>
    <col min="4" max="7" width="11.42578125" style="36" customWidth="1"/>
    <col min="8" max="10" width="11.42578125" style="58" customWidth="1"/>
    <col min="11" max="11" width="9.140625" style="58"/>
    <col min="12" max="12" width="9.140625" style="36"/>
    <col min="13" max="13" width="10.7109375" style="36" customWidth="1"/>
    <col min="14" max="16384" width="9.140625" style="36"/>
  </cols>
  <sheetData>
    <row r="1" spans="1:17" ht="51.75" customHeight="1" x14ac:dyDescent="0.25">
      <c r="A1" s="75"/>
      <c r="B1" s="76"/>
      <c r="C1" s="77"/>
      <c r="E1" s="411" t="s">
        <v>245</v>
      </c>
      <c r="F1" s="411"/>
      <c r="G1" s="411"/>
      <c r="H1" s="411"/>
      <c r="I1" s="411"/>
      <c r="J1" s="411"/>
      <c r="N1" s="58"/>
    </row>
    <row r="2" spans="1:17" ht="37.5" customHeight="1" x14ac:dyDescent="0.25">
      <c r="A2" s="430" t="s">
        <v>246</v>
      </c>
      <c r="B2" s="430"/>
      <c r="C2" s="430"/>
      <c r="D2" s="430"/>
      <c r="E2" s="430"/>
      <c r="F2" s="430"/>
      <c r="G2" s="430"/>
      <c r="H2" s="430"/>
      <c r="I2" s="430"/>
      <c r="J2" s="430"/>
      <c r="N2" s="58"/>
    </row>
    <row r="3" spans="1:17" ht="25.5" customHeight="1" x14ac:dyDescent="0.25">
      <c r="A3" s="431" t="s">
        <v>90</v>
      </c>
      <c r="B3" s="434" t="s">
        <v>247</v>
      </c>
      <c r="C3" s="434" t="s">
        <v>92</v>
      </c>
      <c r="D3" s="354" t="s">
        <v>94</v>
      </c>
      <c r="E3" s="354" t="s">
        <v>41</v>
      </c>
      <c r="F3" s="354" t="s">
        <v>42</v>
      </c>
      <c r="G3" s="354" t="s">
        <v>43</v>
      </c>
      <c r="H3" s="377" t="s">
        <v>44</v>
      </c>
      <c r="I3" s="377" t="s">
        <v>45</v>
      </c>
      <c r="J3" s="377" t="s">
        <v>46</v>
      </c>
      <c r="K3" s="377" t="s">
        <v>47</v>
      </c>
      <c r="L3" s="377" t="s">
        <v>48</v>
      </c>
      <c r="M3" s="377" t="s">
        <v>49</v>
      </c>
      <c r="N3" s="377" t="s">
        <v>50</v>
      </c>
    </row>
    <row r="4" spans="1:17" ht="25.5" customHeight="1" x14ac:dyDescent="0.25">
      <c r="A4" s="432"/>
      <c r="B4" s="435"/>
      <c r="C4" s="435"/>
      <c r="D4" s="355"/>
      <c r="E4" s="437"/>
      <c r="F4" s="439"/>
      <c r="G4" s="355"/>
      <c r="H4" s="378"/>
      <c r="I4" s="378"/>
      <c r="J4" s="378"/>
      <c r="K4" s="378"/>
      <c r="L4" s="378"/>
      <c r="M4" s="378"/>
      <c r="N4" s="378"/>
    </row>
    <row r="5" spans="1:17" ht="25.5" customHeight="1" x14ac:dyDescent="0.25">
      <c r="A5" s="433"/>
      <c r="B5" s="436"/>
      <c r="C5" s="436"/>
      <c r="D5" s="373"/>
      <c r="E5" s="438"/>
      <c r="F5" s="440"/>
      <c r="G5" s="373"/>
      <c r="H5" s="429"/>
      <c r="I5" s="429"/>
      <c r="J5" s="429"/>
      <c r="K5" s="429"/>
      <c r="L5" s="429"/>
      <c r="M5" s="429"/>
      <c r="N5" s="429"/>
    </row>
    <row r="6" spans="1:17" ht="39.75" customHeight="1" x14ac:dyDescent="0.25">
      <c r="A6" s="425" t="s">
        <v>248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N6" s="58"/>
    </row>
    <row r="7" spans="1:17" ht="33" customHeight="1" x14ac:dyDescent="0.25">
      <c r="A7" s="427" t="s">
        <v>249</v>
      </c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8"/>
      <c r="N7" s="58"/>
    </row>
    <row r="8" spans="1:17" ht="47.25" customHeight="1" x14ac:dyDescent="0.25">
      <c r="A8" s="141" t="s">
        <v>250</v>
      </c>
      <c r="B8" s="105" t="s">
        <v>112</v>
      </c>
      <c r="C8" s="24" t="s">
        <v>98</v>
      </c>
      <c r="D8" s="91" t="s">
        <v>113</v>
      </c>
      <c r="E8" s="142">
        <v>90.1</v>
      </c>
      <c r="F8" s="143">
        <v>97.5</v>
      </c>
      <c r="G8" s="63">
        <v>100</v>
      </c>
      <c r="H8" s="63">
        <v>100</v>
      </c>
      <c r="I8" s="63">
        <v>100</v>
      </c>
      <c r="J8" s="63">
        <v>100</v>
      </c>
      <c r="K8" s="63">
        <v>100</v>
      </c>
      <c r="L8" s="63">
        <v>100</v>
      </c>
      <c r="M8" s="63">
        <v>100</v>
      </c>
      <c r="N8" s="63">
        <v>100</v>
      </c>
    </row>
    <row r="9" spans="1:17" ht="72.75" customHeight="1" x14ac:dyDescent="0.25">
      <c r="A9" s="141" t="s">
        <v>251</v>
      </c>
      <c r="B9" s="105" t="s">
        <v>115</v>
      </c>
      <c r="C9" s="24" t="s">
        <v>98</v>
      </c>
      <c r="D9" s="144" t="s">
        <v>113</v>
      </c>
      <c r="E9" s="6">
        <v>85</v>
      </c>
      <c r="F9" s="61">
        <v>97</v>
      </c>
      <c r="G9" s="145">
        <v>100</v>
      </c>
      <c r="H9" s="145">
        <v>100</v>
      </c>
      <c r="I9" s="145">
        <v>100</v>
      </c>
      <c r="J9" s="145">
        <v>100</v>
      </c>
      <c r="K9" s="145">
        <v>100</v>
      </c>
      <c r="L9" s="63">
        <v>100</v>
      </c>
      <c r="M9" s="63">
        <v>100</v>
      </c>
      <c r="N9" s="63">
        <v>100</v>
      </c>
    </row>
    <row r="10" spans="1:17" ht="105" customHeight="1" x14ac:dyDescent="0.25">
      <c r="A10" s="141" t="s">
        <v>252</v>
      </c>
      <c r="B10" s="105" t="s">
        <v>253</v>
      </c>
      <c r="C10" s="24" t="s">
        <v>98</v>
      </c>
      <c r="D10" s="91" t="s">
        <v>113</v>
      </c>
      <c r="E10" s="146">
        <v>0</v>
      </c>
      <c r="F10" s="147">
        <v>0</v>
      </c>
      <c r="G10" s="63">
        <v>0</v>
      </c>
      <c r="H10" s="63">
        <v>100</v>
      </c>
      <c r="I10" s="63">
        <v>100</v>
      </c>
      <c r="J10" s="63">
        <v>100</v>
      </c>
      <c r="K10" s="63">
        <v>100</v>
      </c>
      <c r="L10" s="63">
        <v>100</v>
      </c>
      <c r="M10" s="63">
        <v>100</v>
      </c>
      <c r="N10" s="63">
        <v>100</v>
      </c>
      <c r="O10" s="148"/>
      <c r="P10" s="148"/>
      <c r="Q10" s="148"/>
    </row>
    <row r="11" spans="1:17" ht="118.5" customHeight="1" x14ac:dyDescent="0.25">
      <c r="A11" s="141" t="s">
        <v>254</v>
      </c>
      <c r="B11" s="80" t="s">
        <v>120</v>
      </c>
      <c r="C11" s="24" t="s">
        <v>98</v>
      </c>
      <c r="D11" s="91" t="s">
        <v>113</v>
      </c>
      <c r="E11" s="22" t="s">
        <v>121</v>
      </c>
      <c r="F11" s="63" t="s">
        <v>122</v>
      </c>
      <c r="G11" s="63">
        <v>0</v>
      </c>
      <c r="H11" s="63">
        <v>0</v>
      </c>
      <c r="I11" s="63" t="s">
        <v>122</v>
      </c>
      <c r="J11" s="63" t="s">
        <v>122</v>
      </c>
      <c r="K11" s="63" t="s">
        <v>122</v>
      </c>
      <c r="L11" s="63" t="s">
        <v>122</v>
      </c>
      <c r="M11" s="63" t="s">
        <v>122</v>
      </c>
      <c r="N11" s="63" t="s">
        <v>122</v>
      </c>
      <c r="O11" s="148"/>
      <c r="P11" s="148"/>
      <c r="Q11" s="148"/>
    </row>
    <row r="12" spans="1:17" ht="20.25" customHeight="1" x14ac:dyDescent="0.25">
      <c r="A12" s="149"/>
      <c r="B12" s="150"/>
      <c r="C12" s="79"/>
      <c r="D12" s="151"/>
      <c r="E12" s="151"/>
      <c r="F12" s="151"/>
      <c r="G12" s="151"/>
      <c r="H12" s="152"/>
      <c r="I12" s="152"/>
      <c r="J12" s="152"/>
      <c r="N12" s="58"/>
    </row>
    <row r="13" spans="1:17" ht="26.25" customHeight="1" x14ac:dyDescent="0.25">
      <c r="A13" s="153" t="s">
        <v>33</v>
      </c>
      <c r="B13" s="153"/>
      <c r="C13" s="153"/>
      <c r="G13" s="55"/>
      <c r="H13" s="154" t="s">
        <v>255</v>
      </c>
      <c r="I13" s="154"/>
      <c r="J13" s="155"/>
      <c r="N13" s="58"/>
    </row>
  </sheetData>
  <mergeCells count="18"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  <mergeCell ref="A6:L6"/>
    <mergeCell ref="A7:L7"/>
    <mergeCell ref="I3:I5"/>
    <mergeCell ref="J3:J5"/>
    <mergeCell ref="K3:K5"/>
    <mergeCell ref="L3:L5"/>
  </mergeCells>
  <pageMargins left="0.51181102362204722" right="0.51181102362204722" top="0.55118110236220474" bottom="0.35433070866141736" header="0.31496062992125984" footer="0.31496062992125984"/>
  <pageSetup paperSize="9" scale="64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V96"/>
  <sheetViews>
    <sheetView view="pageBreakPreview" zoomScale="98" zoomScaleNormal="98" zoomScaleSheetLayoutView="98" workbookViewId="0">
      <pane xSplit="3" ySplit="6" topLeftCell="M50" activePane="bottomRight" state="frozen"/>
      <selection activeCell="Q12" sqref="Q12"/>
      <selection pane="topRight" activeCell="Q12" sqref="Q12"/>
      <selection pane="bottomLeft" activeCell="Q12" sqref="Q12"/>
      <selection pane="bottomRight" activeCell="R61" sqref="R61"/>
    </sheetView>
  </sheetViews>
  <sheetFormatPr defaultColWidth="9.28515625" defaultRowHeight="15.75" x14ac:dyDescent="0.25"/>
  <cols>
    <col min="1" max="1" width="8.42578125" style="192" hidden="1" customWidth="1"/>
    <col min="2" max="2" width="60.7109375" style="36" hidden="1" customWidth="1"/>
    <col min="3" max="3" width="33.7109375" style="193" customWidth="1"/>
    <col min="4" max="5" width="9.28515625" style="193"/>
    <col min="6" max="6" width="13.85546875" style="193" bestFit="1" customWidth="1"/>
    <col min="7" max="7" width="9.28515625" style="193"/>
    <col min="8" max="8" width="14.28515625" style="193" customWidth="1"/>
    <col min="9" max="10" width="17.7109375" style="36" customWidth="1"/>
    <col min="11" max="12" width="18.28515625" style="36" customWidth="1"/>
    <col min="13" max="17" width="18.28515625" style="58" customWidth="1"/>
    <col min="18" max="18" width="17.7109375" style="36" customWidth="1"/>
    <col min="19" max="19" width="55.5703125" style="36" customWidth="1"/>
    <col min="20" max="20" width="12" style="36" customWidth="1"/>
    <col min="21" max="21" width="15.42578125" style="36" customWidth="1"/>
    <col min="22" max="22" width="21.28515625" style="36" customWidth="1"/>
    <col min="23" max="16384" width="9.28515625" style="36"/>
  </cols>
  <sheetData>
    <row r="1" spans="1:22" s="135" customFormat="1" ht="75" customHeight="1" x14ac:dyDescent="0.25">
      <c r="A1" s="156"/>
      <c r="B1" s="157"/>
      <c r="C1" s="158"/>
      <c r="D1" s="158"/>
      <c r="E1" s="158"/>
      <c r="F1" s="158"/>
      <c r="G1" s="158"/>
      <c r="H1" s="158"/>
      <c r="I1" s="480"/>
      <c r="J1" s="480"/>
      <c r="M1" s="125"/>
      <c r="N1" s="125"/>
      <c r="O1" s="125"/>
      <c r="P1" s="125"/>
      <c r="Q1" s="125"/>
      <c r="R1" s="481" t="s">
        <v>256</v>
      </c>
      <c r="S1" s="481"/>
      <c r="T1" s="159"/>
      <c r="U1" s="159"/>
      <c r="V1" s="159"/>
    </row>
    <row r="2" spans="1:22" s="135" customFormat="1" ht="23.25" customHeight="1" x14ac:dyDescent="0.25">
      <c r="A2" s="482" t="s">
        <v>257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</row>
    <row r="3" spans="1:22" s="135" customFormat="1" ht="24.75" customHeight="1" x14ac:dyDescent="0.25">
      <c r="A3" s="359" t="s">
        <v>90</v>
      </c>
      <c r="B3" s="359" t="s">
        <v>258</v>
      </c>
      <c r="C3" s="359" t="s">
        <v>7</v>
      </c>
      <c r="D3" s="359" t="s">
        <v>5</v>
      </c>
      <c r="E3" s="359"/>
      <c r="F3" s="359"/>
      <c r="G3" s="359"/>
      <c r="H3" s="6"/>
      <c r="I3" s="359" t="s">
        <v>6</v>
      </c>
      <c r="J3" s="359"/>
      <c r="K3" s="359"/>
      <c r="L3" s="359"/>
      <c r="M3" s="359"/>
      <c r="N3" s="359"/>
      <c r="O3" s="359"/>
      <c r="P3" s="359"/>
      <c r="Q3" s="359"/>
      <c r="R3" s="359"/>
      <c r="S3" s="359" t="s">
        <v>259</v>
      </c>
    </row>
    <row r="4" spans="1:22" s="135" customFormat="1" ht="42" customHeight="1" x14ac:dyDescent="0.25">
      <c r="A4" s="359"/>
      <c r="B4" s="359"/>
      <c r="C4" s="359"/>
      <c r="D4" s="6" t="s">
        <v>7</v>
      </c>
      <c r="E4" s="6" t="s">
        <v>8</v>
      </c>
      <c r="F4" s="6" t="s">
        <v>9</v>
      </c>
      <c r="G4" s="6" t="s">
        <v>10</v>
      </c>
      <c r="H4" s="6">
        <v>2014</v>
      </c>
      <c r="I4" s="6">
        <v>2015</v>
      </c>
      <c r="J4" s="6">
        <v>2016</v>
      </c>
      <c r="K4" s="6">
        <v>2017</v>
      </c>
      <c r="L4" s="6">
        <v>2018</v>
      </c>
      <c r="M4" s="61">
        <v>2019</v>
      </c>
      <c r="N4" s="61">
        <v>2020</v>
      </c>
      <c r="O4" s="61">
        <v>2021</v>
      </c>
      <c r="P4" s="61">
        <v>2022</v>
      </c>
      <c r="Q4" s="61">
        <v>2023</v>
      </c>
      <c r="R4" s="6" t="s">
        <v>11</v>
      </c>
      <c r="S4" s="359"/>
    </row>
    <row r="5" spans="1:22" ht="26.25" customHeight="1" x14ac:dyDescent="0.25">
      <c r="A5" s="366" t="s">
        <v>248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</row>
    <row r="6" spans="1:22" ht="24" customHeight="1" x14ac:dyDescent="0.25">
      <c r="A6" s="472" t="s">
        <v>249</v>
      </c>
      <c r="B6" s="472"/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</row>
    <row r="7" spans="1:22" ht="24.95" customHeight="1" x14ac:dyDescent="0.25">
      <c r="A7" s="473" t="s">
        <v>111</v>
      </c>
      <c r="B7" s="476" t="s">
        <v>260</v>
      </c>
      <c r="C7" s="473" t="s">
        <v>261</v>
      </c>
      <c r="D7" s="160" t="s">
        <v>18</v>
      </c>
      <c r="E7" s="160" t="s">
        <v>262</v>
      </c>
      <c r="F7" s="160" t="s">
        <v>263</v>
      </c>
      <c r="G7" s="160" t="s">
        <v>264</v>
      </c>
      <c r="H7" s="161">
        <v>69765.3</v>
      </c>
      <c r="I7" s="161">
        <v>78566.5</v>
      </c>
      <c r="J7" s="161">
        <v>53980.2</v>
      </c>
      <c r="K7" s="162">
        <v>48275.5</v>
      </c>
      <c r="L7" s="162">
        <v>47527.3</v>
      </c>
      <c r="M7" s="161">
        <v>50883.5</v>
      </c>
      <c r="N7" s="161">
        <v>45371.1</v>
      </c>
      <c r="O7" s="161">
        <v>45258.3</v>
      </c>
      <c r="P7" s="161">
        <f>O7</f>
        <v>45258.3</v>
      </c>
      <c r="Q7" s="161">
        <f>P7</f>
        <v>45258.3</v>
      </c>
      <c r="R7" s="162">
        <f>SUM(H7:Q7)</f>
        <v>530144.29999999993</v>
      </c>
      <c r="S7" s="354" t="s">
        <v>265</v>
      </c>
    </row>
    <row r="8" spans="1:22" ht="24.95" customHeight="1" x14ac:dyDescent="0.25">
      <c r="A8" s="474"/>
      <c r="B8" s="477"/>
      <c r="C8" s="474"/>
      <c r="D8" s="160" t="s">
        <v>18</v>
      </c>
      <c r="E8" s="160" t="s">
        <v>262</v>
      </c>
      <c r="F8" s="160" t="s">
        <v>263</v>
      </c>
      <c r="G8" s="160" t="s">
        <v>266</v>
      </c>
      <c r="H8" s="161">
        <v>2247.3000000000002</v>
      </c>
      <c r="I8" s="161">
        <v>6941.5</v>
      </c>
      <c r="J8" s="161">
        <v>7305.1</v>
      </c>
      <c r="K8" s="162">
        <v>3060.4</v>
      </c>
      <c r="L8" s="162">
        <v>788.7</v>
      </c>
      <c r="M8" s="161">
        <v>2751.6</v>
      </c>
      <c r="N8" s="161">
        <v>1570.9</v>
      </c>
      <c r="O8" s="161">
        <v>230</v>
      </c>
      <c r="P8" s="161">
        <v>230</v>
      </c>
      <c r="Q8" s="161">
        <f t="shared" ref="Q8:Q56" si="0">P8</f>
        <v>230</v>
      </c>
      <c r="R8" s="162">
        <f t="shared" ref="R8:R56" si="1">SUM(H8:Q8)</f>
        <v>25355.500000000004</v>
      </c>
      <c r="S8" s="355"/>
    </row>
    <row r="9" spans="1:22" ht="24.95" customHeight="1" x14ac:dyDescent="0.25">
      <c r="A9" s="474"/>
      <c r="B9" s="477"/>
      <c r="C9" s="474"/>
      <c r="D9" s="160" t="s">
        <v>18</v>
      </c>
      <c r="E9" s="160" t="s">
        <v>262</v>
      </c>
      <c r="F9" s="160" t="s">
        <v>263</v>
      </c>
      <c r="G9" s="160" t="s">
        <v>267</v>
      </c>
      <c r="H9" s="161">
        <v>11537</v>
      </c>
      <c r="I9" s="161">
        <v>12269.9</v>
      </c>
      <c r="J9" s="161">
        <v>8827.4</v>
      </c>
      <c r="K9" s="162">
        <v>7585.8</v>
      </c>
      <c r="L9" s="162">
        <v>7298.7</v>
      </c>
      <c r="M9" s="161">
        <v>7606.8</v>
      </c>
      <c r="N9" s="161">
        <v>7356.8</v>
      </c>
      <c r="O9" s="161">
        <v>7008.7</v>
      </c>
      <c r="P9" s="161">
        <v>7008.7</v>
      </c>
      <c r="Q9" s="161">
        <f t="shared" si="0"/>
        <v>7008.7</v>
      </c>
      <c r="R9" s="162">
        <f t="shared" si="1"/>
        <v>83508.5</v>
      </c>
      <c r="S9" s="355"/>
    </row>
    <row r="10" spans="1:22" ht="24.95" customHeight="1" x14ac:dyDescent="0.25">
      <c r="A10" s="474"/>
      <c r="B10" s="477"/>
      <c r="C10" s="474"/>
      <c r="D10" s="160" t="s">
        <v>18</v>
      </c>
      <c r="E10" s="160" t="s">
        <v>262</v>
      </c>
      <c r="F10" s="160" t="s">
        <v>263</v>
      </c>
      <c r="G10" s="160" t="s">
        <v>268</v>
      </c>
      <c r="H10" s="161">
        <v>180</v>
      </c>
      <c r="I10" s="161">
        <v>1248.0999999999999</v>
      </c>
      <c r="J10" s="161">
        <v>101.9</v>
      </c>
      <c r="K10" s="162">
        <v>10</v>
      </c>
      <c r="L10" s="162"/>
      <c r="M10" s="161"/>
      <c r="N10" s="161"/>
      <c r="O10" s="161"/>
      <c r="P10" s="161">
        <f t="shared" ref="P10:P56" si="2">O10</f>
        <v>0</v>
      </c>
      <c r="Q10" s="161">
        <f t="shared" si="0"/>
        <v>0</v>
      </c>
      <c r="R10" s="162">
        <f t="shared" si="1"/>
        <v>1540</v>
      </c>
      <c r="S10" s="355"/>
    </row>
    <row r="11" spans="1:22" ht="24.95" customHeight="1" x14ac:dyDescent="0.25">
      <c r="A11" s="474"/>
      <c r="B11" s="477"/>
      <c r="C11" s="474"/>
      <c r="D11" s="160" t="s">
        <v>18</v>
      </c>
      <c r="E11" s="160" t="s">
        <v>262</v>
      </c>
      <c r="F11" s="160" t="s">
        <v>269</v>
      </c>
      <c r="G11" s="160" t="s">
        <v>264</v>
      </c>
      <c r="H11" s="161">
        <v>5961.4</v>
      </c>
      <c r="I11" s="161">
        <v>10099.9</v>
      </c>
      <c r="J11" s="161">
        <v>13561.6</v>
      </c>
      <c r="K11" s="162">
        <v>14858.8</v>
      </c>
      <c r="L11" s="162">
        <v>19814.900000000001</v>
      </c>
      <c r="M11" s="161">
        <v>33192.5</v>
      </c>
      <c r="N11" s="161">
        <v>31250.1</v>
      </c>
      <c r="O11" s="161">
        <v>31250.1</v>
      </c>
      <c r="P11" s="161">
        <v>31250.1</v>
      </c>
      <c r="Q11" s="161">
        <f t="shared" si="0"/>
        <v>31250.1</v>
      </c>
      <c r="R11" s="162">
        <f t="shared" si="1"/>
        <v>222489.50000000003</v>
      </c>
      <c r="S11" s="355"/>
    </row>
    <row r="12" spans="1:22" ht="24.95" customHeight="1" x14ac:dyDescent="0.25">
      <c r="A12" s="474"/>
      <c r="B12" s="477"/>
      <c r="C12" s="474"/>
      <c r="D12" s="160" t="s">
        <v>18</v>
      </c>
      <c r="E12" s="160" t="s">
        <v>262</v>
      </c>
      <c r="F12" s="160" t="s">
        <v>269</v>
      </c>
      <c r="G12" s="160" t="s">
        <v>267</v>
      </c>
      <c r="H12" s="161">
        <v>1142</v>
      </c>
      <c r="I12" s="161">
        <v>1752.1</v>
      </c>
      <c r="J12" s="161">
        <v>2506</v>
      </c>
      <c r="K12" s="162">
        <v>2673.8</v>
      </c>
      <c r="L12" s="162">
        <v>3359.1</v>
      </c>
      <c r="M12" s="161">
        <v>5005.5</v>
      </c>
      <c r="N12" s="161">
        <v>4731.2</v>
      </c>
      <c r="O12" s="161">
        <v>5084.3</v>
      </c>
      <c r="P12" s="161">
        <v>5084.3</v>
      </c>
      <c r="Q12" s="161">
        <f t="shared" si="0"/>
        <v>5084.3</v>
      </c>
      <c r="R12" s="162">
        <f t="shared" si="1"/>
        <v>36422.6</v>
      </c>
      <c r="S12" s="355"/>
    </row>
    <row r="13" spans="1:22" ht="24.95" customHeight="1" x14ac:dyDescent="0.25">
      <c r="A13" s="474"/>
      <c r="B13" s="477"/>
      <c r="C13" s="474"/>
      <c r="D13" s="163" t="s">
        <v>18</v>
      </c>
      <c r="E13" s="163" t="s">
        <v>262</v>
      </c>
      <c r="F13" s="160" t="s">
        <v>270</v>
      </c>
      <c r="G13" s="160" t="s">
        <v>266</v>
      </c>
      <c r="H13" s="162"/>
      <c r="I13" s="162"/>
      <c r="J13" s="162"/>
      <c r="K13" s="162"/>
      <c r="L13" s="162">
        <v>0</v>
      </c>
      <c r="M13" s="161">
        <v>50</v>
      </c>
      <c r="N13" s="161">
        <v>0</v>
      </c>
      <c r="O13" s="161">
        <v>0</v>
      </c>
      <c r="P13" s="161">
        <v>0</v>
      </c>
      <c r="Q13" s="161">
        <f t="shared" si="0"/>
        <v>0</v>
      </c>
      <c r="R13" s="162">
        <f t="shared" si="1"/>
        <v>50</v>
      </c>
      <c r="S13" s="355"/>
    </row>
    <row r="14" spans="1:22" ht="24.95" customHeight="1" x14ac:dyDescent="0.25">
      <c r="A14" s="474"/>
      <c r="B14" s="477"/>
      <c r="C14" s="474"/>
      <c r="D14" s="163" t="s">
        <v>18</v>
      </c>
      <c r="E14" s="163" t="s">
        <v>262</v>
      </c>
      <c r="F14" s="160" t="s">
        <v>270</v>
      </c>
      <c r="G14" s="160" t="s">
        <v>266</v>
      </c>
      <c r="H14" s="162">
        <v>0</v>
      </c>
      <c r="I14" s="162">
        <v>0</v>
      </c>
      <c r="J14" s="162">
        <v>2</v>
      </c>
      <c r="K14" s="162">
        <v>0</v>
      </c>
      <c r="L14" s="162">
        <v>0</v>
      </c>
      <c r="M14" s="161">
        <v>1000</v>
      </c>
      <c r="N14" s="161">
        <v>0</v>
      </c>
      <c r="O14" s="161">
        <v>0</v>
      </c>
      <c r="P14" s="161">
        <f t="shared" si="2"/>
        <v>0</v>
      </c>
      <c r="Q14" s="161">
        <f t="shared" si="0"/>
        <v>0</v>
      </c>
      <c r="R14" s="162">
        <f t="shared" si="1"/>
        <v>1002</v>
      </c>
      <c r="S14" s="355"/>
    </row>
    <row r="15" spans="1:22" ht="24.95" customHeight="1" x14ac:dyDescent="0.25">
      <c r="A15" s="474"/>
      <c r="B15" s="478"/>
      <c r="C15" s="475"/>
      <c r="D15" s="160" t="s">
        <v>18</v>
      </c>
      <c r="E15" s="160" t="s">
        <v>262</v>
      </c>
      <c r="F15" s="160" t="s">
        <v>271</v>
      </c>
      <c r="G15" s="160" t="s">
        <v>268</v>
      </c>
      <c r="H15" s="162">
        <v>0</v>
      </c>
      <c r="I15" s="162">
        <v>0</v>
      </c>
      <c r="J15" s="162">
        <v>0</v>
      </c>
      <c r="K15" s="162">
        <v>1</v>
      </c>
      <c r="L15" s="162">
        <v>0</v>
      </c>
      <c r="M15" s="161">
        <v>0</v>
      </c>
      <c r="N15" s="161">
        <v>0</v>
      </c>
      <c r="O15" s="161">
        <v>0</v>
      </c>
      <c r="P15" s="161">
        <f t="shared" si="2"/>
        <v>0</v>
      </c>
      <c r="Q15" s="161">
        <f t="shared" si="0"/>
        <v>0</v>
      </c>
      <c r="R15" s="162">
        <f t="shared" si="1"/>
        <v>1</v>
      </c>
      <c r="S15" s="355"/>
    </row>
    <row r="16" spans="1:22" ht="24.95" customHeight="1" x14ac:dyDescent="0.25">
      <c r="A16" s="474"/>
      <c r="B16" s="463" t="s">
        <v>272</v>
      </c>
      <c r="C16" s="377" t="s">
        <v>261</v>
      </c>
      <c r="D16" s="160" t="s">
        <v>273</v>
      </c>
      <c r="E16" s="160" t="s">
        <v>262</v>
      </c>
      <c r="F16" s="160" t="s">
        <v>274</v>
      </c>
      <c r="G16" s="160" t="s">
        <v>266</v>
      </c>
      <c r="H16" s="162">
        <v>0</v>
      </c>
      <c r="I16" s="162">
        <v>0</v>
      </c>
      <c r="J16" s="162">
        <v>141</v>
      </c>
      <c r="K16" s="162">
        <v>0</v>
      </c>
      <c r="L16" s="162">
        <v>0</v>
      </c>
      <c r="M16" s="161">
        <v>0</v>
      </c>
      <c r="N16" s="161">
        <v>0</v>
      </c>
      <c r="O16" s="161">
        <v>0</v>
      </c>
      <c r="P16" s="161">
        <f t="shared" si="2"/>
        <v>0</v>
      </c>
      <c r="Q16" s="161">
        <f t="shared" si="0"/>
        <v>0</v>
      </c>
      <c r="R16" s="162">
        <f t="shared" si="1"/>
        <v>141</v>
      </c>
      <c r="S16" s="355"/>
    </row>
    <row r="17" spans="1:19" ht="24.95" customHeight="1" x14ac:dyDescent="0.25">
      <c r="A17" s="474"/>
      <c r="B17" s="479"/>
      <c r="C17" s="378"/>
      <c r="D17" s="160" t="s">
        <v>273</v>
      </c>
      <c r="E17" s="160" t="s">
        <v>262</v>
      </c>
      <c r="F17" s="160" t="s">
        <v>274</v>
      </c>
      <c r="G17" s="160" t="s">
        <v>268</v>
      </c>
      <c r="H17" s="162">
        <v>0</v>
      </c>
      <c r="I17" s="162">
        <v>0</v>
      </c>
      <c r="J17" s="162">
        <v>0</v>
      </c>
      <c r="K17" s="162">
        <v>70.5</v>
      </c>
      <c r="L17" s="162">
        <v>0</v>
      </c>
      <c r="M17" s="161">
        <v>0</v>
      </c>
      <c r="N17" s="161">
        <v>0</v>
      </c>
      <c r="O17" s="161">
        <v>0</v>
      </c>
      <c r="P17" s="161">
        <f t="shared" si="2"/>
        <v>0</v>
      </c>
      <c r="Q17" s="161">
        <f t="shared" si="0"/>
        <v>0</v>
      </c>
      <c r="R17" s="162">
        <f t="shared" si="1"/>
        <v>70.5</v>
      </c>
      <c r="S17" s="355"/>
    </row>
    <row r="18" spans="1:19" ht="24.95" customHeight="1" x14ac:dyDescent="0.25">
      <c r="A18" s="474"/>
      <c r="B18" s="479"/>
      <c r="C18" s="378"/>
      <c r="D18" s="164" t="s">
        <v>18</v>
      </c>
      <c r="E18" s="164" t="s">
        <v>262</v>
      </c>
      <c r="F18" s="164" t="s">
        <v>275</v>
      </c>
      <c r="G18" s="164" t="s">
        <v>264</v>
      </c>
      <c r="H18" s="165">
        <v>55471</v>
      </c>
      <c r="I18" s="165">
        <v>64558.6</v>
      </c>
      <c r="J18" s="165">
        <v>62740.3</v>
      </c>
      <c r="K18" s="166">
        <v>67910</v>
      </c>
      <c r="L18" s="166">
        <v>69926.5</v>
      </c>
      <c r="M18" s="165">
        <v>80492.399999999994</v>
      </c>
      <c r="N18" s="165">
        <v>92362.1</v>
      </c>
      <c r="O18" s="165">
        <v>89981.2</v>
      </c>
      <c r="P18" s="165">
        <v>89981.2</v>
      </c>
      <c r="Q18" s="161">
        <f t="shared" si="0"/>
        <v>89981.2</v>
      </c>
      <c r="R18" s="162">
        <f t="shared" si="1"/>
        <v>763404.49999999988</v>
      </c>
      <c r="S18" s="355"/>
    </row>
    <row r="19" spans="1:19" ht="24.95" customHeight="1" x14ac:dyDescent="0.25">
      <c r="A19" s="474"/>
      <c r="B19" s="479"/>
      <c r="C19" s="378"/>
      <c r="D19" s="164" t="s">
        <v>18</v>
      </c>
      <c r="E19" s="164" t="s">
        <v>262</v>
      </c>
      <c r="F19" s="164" t="s">
        <v>275</v>
      </c>
      <c r="G19" s="164" t="s">
        <v>266</v>
      </c>
      <c r="H19" s="165">
        <v>216.4</v>
      </c>
      <c r="I19" s="165">
        <v>268.39999999999998</v>
      </c>
      <c r="J19" s="165">
        <v>343.4</v>
      </c>
      <c r="K19" s="166">
        <v>380.2</v>
      </c>
      <c r="L19" s="166">
        <v>337</v>
      </c>
      <c r="M19" s="165">
        <v>341</v>
      </c>
      <c r="N19" s="165">
        <v>0</v>
      </c>
      <c r="O19" s="165">
        <v>0</v>
      </c>
      <c r="P19" s="161">
        <v>0</v>
      </c>
      <c r="Q19" s="161">
        <f t="shared" si="0"/>
        <v>0</v>
      </c>
      <c r="R19" s="162">
        <f t="shared" si="1"/>
        <v>1886.3999999999999</v>
      </c>
      <c r="S19" s="355"/>
    </row>
    <row r="20" spans="1:19" ht="24.95" customHeight="1" x14ac:dyDescent="0.25">
      <c r="A20" s="474"/>
      <c r="B20" s="479"/>
      <c r="C20" s="378"/>
      <c r="D20" s="164" t="s">
        <v>18</v>
      </c>
      <c r="E20" s="164" t="s">
        <v>262</v>
      </c>
      <c r="F20" s="164" t="s">
        <v>275</v>
      </c>
      <c r="G20" s="164" t="s">
        <v>267</v>
      </c>
      <c r="H20" s="165">
        <v>8073.9</v>
      </c>
      <c r="I20" s="165">
        <v>9286.4</v>
      </c>
      <c r="J20" s="165">
        <v>9020.2999999999993</v>
      </c>
      <c r="K20" s="166">
        <v>9425.2000000000007</v>
      </c>
      <c r="L20" s="166">
        <v>10547.1</v>
      </c>
      <c r="M20" s="165">
        <v>12198.3</v>
      </c>
      <c r="N20" s="165">
        <v>15775.4</v>
      </c>
      <c r="O20" s="165">
        <v>14950.4</v>
      </c>
      <c r="P20" s="165">
        <v>14950.4</v>
      </c>
      <c r="Q20" s="161">
        <f t="shared" si="0"/>
        <v>14950.4</v>
      </c>
      <c r="R20" s="162">
        <f t="shared" si="1"/>
        <v>119177.79999999997</v>
      </c>
      <c r="S20" s="355"/>
    </row>
    <row r="21" spans="1:19" ht="24.95" customHeight="1" x14ac:dyDescent="0.25">
      <c r="A21" s="474"/>
      <c r="B21" s="479"/>
      <c r="C21" s="378"/>
      <c r="D21" s="164" t="s">
        <v>18</v>
      </c>
      <c r="E21" s="164" t="s">
        <v>262</v>
      </c>
      <c r="F21" s="164" t="s">
        <v>275</v>
      </c>
      <c r="G21" s="164" t="s">
        <v>276</v>
      </c>
      <c r="H21" s="165"/>
      <c r="I21" s="165"/>
      <c r="J21" s="165"/>
      <c r="K21" s="166">
        <v>0</v>
      </c>
      <c r="L21" s="166"/>
      <c r="M21" s="165"/>
      <c r="N21" s="165">
        <v>32.9</v>
      </c>
      <c r="O21" s="165"/>
      <c r="P21" s="161">
        <f t="shared" si="2"/>
        <v>0</v>
      </c>
      <c r="Q21" s="161">
        <f t="shared" si="0"/>
        <v>0</v>
      </c>
      <c r="R21" s="162">
        <f t="shared" si="1"/>
        <v>32.9</v>
      </c>
      <c r="S21" s="355"/>
    </row>
    <row r="22" spans="1:19" ht="24.95" customHeight="1" x14ac:dyDescent="0.25">
      <c r="A22" s="474"/>
      <c r="B22" s="479"/>
      <c r="C22" s="378"/>
      <c r="D22" s="164" t="s">
        <v>18</v>
      </c>
      <c r="E22" s="164" t="s">
        <v>262</v>
      </c>
      <c r="F22" s="164" t="s">
        <v>275</v>
      </c>
      <c r="G22" s="164" t="s">
        <v>266</v>
      </c>
      <c r="H22" s="165">
        <v>3478.6</v>
      </c>
      <c r="I22" s="165">
        <v>3595.8</v>
      </c>
      <c r="J22" s="165"/>
      <c r="K22" s="166">
        <v>0</v>
      </c>
      <c r="L22" s="166"/>
      <c r="M22" s="165"/>
      <c r="N22" s="165"/>
      <c r="O22" s="165"/>
      <c r="P22" s="161">
        <f t="shared" si="2"/>
        <v>0</v>
      </c>
      <c r="Q22" s="161">
        <f t="shared" si="0"/>
        <v>0</v>
      </c>
      <c r="R22" s="162">
        <f t="shared" si="1"/>
        <v>7074.4</v>
      </c>
      <c r="S22" s="355"/>
    </row>
    <row r="23" spans="1:19" ht="24.95" customHeight="1" x14ac:dyDescent="0.25">
      <c r="A23" s="474"/>
      <c r="B23" s="479"/>
      <c r="C23" s="378"/>
      <c r="D23" s="164" t="s">
        <v>18</v>
      </c>
      <c r="E23" s="164" t="s">
        <v>262</v>
      </c>
      <c r="F23" s="164" t="s">
        <v>275</v>
      </c>
      <c r="G23" s="164" t="s">
        <v>268</v>
      </c>
      <c r="H23" s="165">
        <v>486.3</v>
      </c>
      <c r="I23" s="165">
        <v>496.9</v>
      </c>
      <c r="J23" s="165"/>
      <c r="K23" s="166">
        <v>0</v>
      </c>
      <c r="L23" s="166"/>
      <c r="M23" s="165">
        <v>0</v>
      </c>
      <c r="N23" s="165">
        <v>0</v>
      </c>
      <c r="O23" s="165">
        <v>0</v>
      </c>
      <c r="P23" s="161">
        <v>0</v>
      </c>
      <c r="Q23" s="161">
        <f t="shared" si="0"/>
        <v>0</v>
      </c>
      <c r="R23" s="162">
        <f t="shared" si="1"/>
        <v>983.2</v>
      </c>
      <c r="S23" s="355"/>
    </row>
    <row r="24" spans="1:19" ht="24.95" customHeight="1" x14ac:dyDescent="0.25">
      <c r="A24" s="474"/>
      <c r="B24" s="479"/>
      <c r="C24" s="378"/>
      <c r="D24" s="164" t="s">
        <v>18</v>
      </c>
      <c r="E24" s="164" t="s">
        <v>262</v>
      </c>
      <c r="F24" s="164" t="s">
        <v>277</v>
      </c>
      <c r="G24" s="164" t="s">
        <v>264</v>
      </c>
      <c r="H24" s="165"/>
      <c r="I24" s="165"/>
      <c r="J24" s="165">
        <v>32757.9</v>
      </c>
      <c r="K24" s="166">
        <v>35111</v>
      </c>
      <c r="L24" s="166">
        <v>38950.400000000001</v>
      </c>
      <c r="M24" s="165">
        <v>42346.400000000001</v>
      </c>
      <c r="N24" s="165">
        <v>44198.5</v>
      </c>
      <c r="O24" s="165">
        <v>43999.8</v>
      </c>
      <c r="P24" s="165">
        <v>43999.8</v>
      </c>
      <c r="Q24" s="161">
        <f t="shared" si="0"/>
        <v>43999.8</v>
      </c>
      <c r="R24" s="162">
        <f t="shared" si="1"/>
        <v>325363.59999999998</v>
      </c>
      <c r="S24" s="355"/>
    </row>
    <row r="25" spans="1:19" ht="24.95" customHeight="1" x14ac:dyDescent="0.25">
      <c r="A25" s="474"/>
      <c r="B25" s="479"/>
      <c r="C25" s="378"/>
      <c r="D25" s="164" t="s">
        <v>18</v>
      </c>
      <c r="E25" s="164" t="s">
        <v>262</v>
      </c>
      <c r="F25" s="164" t="s">
        <v>277</v>
      </c>
      <c r="G25" s="164" t="s">
        <v>266</v>
      </c>
      <c r="H25" s="165"/>
      <c r="I25" s="165"/>
      <c r="J25" s="165">
        <v>762.6</v>
      </c>
      <c r="K25" s="166">
        <v>412</v>
      </c>
      <c r="L25" s="166">
        <v>357</v>
      </c>
      <c r="M25" s="165">
        <v>290</v>
      </c>
      <c r="N25" s="165">
        <v>0</v>
      </c>
      <c r="O25" s="165">
        <v>0</v>
      </c>
      <c r="P25" s="161">
        <v>0</v>
      </c>
      <c r="Q25" s="161">
        <f t="shared" si="0"/>
        <v>0</v>
      </c>
      <c r="R25" s="162">
        <f t="shared" si="1"/>
        <v>1821.6</v>
      </c>
      <c r="S25" s="355"/>
    </row>
    <row r="26" spans="1:19" ht="24.95" customHeight="1" x14ac:dyDescent="0.25">
      <c r="A26" s="474"/>
      <c r="B26" s="479"/>
      <c r="C26" s="378"/>
      <c r="D26" s="164" t="s">
        <v>18</v>
      </c>
      <c r="E26" s="164" t="s">
        <v>262</v>
      </c>
      <c r="F26" s="164" t="s">
        <v>277</v>
      </c>
      <c r="G26" s="164" t="s">
        <v>267</v>
      </c>
      <c r="H26" s="165"/>
      <c r="I26" s="165"/>
      <c r="J26" s="165">
        <v>4635</v>
      </c>
      <c r="K26" s="166">
        <v>4958.6000000000004</v>
      </c>
      <c r="L26" s="166">
        <v>5314.3</v>
      </c>
      <c r="M26" s="165">
        <v>6772.5</v>
      </c>
      <c r="N26" s="165">
        <v>6889.9</v>
      </c>
      <c r="O26" s="165">
        <v>6867.9</v>
      </c>
      <c r="P26" s="165">
        <v>6867.9</v>
      </c>
      <c r="Q26" s="161">
        <f t="shared" si="0"/>
        <v>6867.9</v>
      </c>
      <c r="R26" s="162">
        <f t="shared" si="1"/>
        <v>49174.000000000007</v>
      </c>
      <c r="S26" s="355"/>
    </row>
    <row r="27" spans="1:19" ht="24.95" customHeight="1" x14ac:dyDescent="0.25">
      <c r="A27" s="474"/>
      <c r="B27" s="479"/>
      <c r="C27" s="378"/>
      <c r="D27" s="164" t="s">
        <v>18</v>
      </c>
      <c r="E27" s="164" t="s">
        <v>262</v>
      </c>
      <c r="F27" s="164" t="s">
        <v>277</v>
      </c>
      <c r="G27" s="164" t="s">
        <v>268</v>
      </c>
      <c r="H27" s="165"/>
      <c r="I27" s="165"/>
      <c r="J27" s="165">
        <v>89.5</v>
      </c>
      <c r="K27" s="166">
        <v>0</v>
      </c>
      <c r="L27" s="166"/>
      <c r="M27" s="165"/>
      <c r="N27" s="165"/>
      <c r="O27" s="165"/>
      <c r="P27" s="161">
        <f t="shared" si="2"/>
        <v>0</v>
      </c>
      <c r="Q27" s="161">
        <f t="shared" si="0"/>
        <v>0</v>
      </c>
      <c r="R27" s="162">
        <f t="shared" si="1"/>
        <v>89.5</v>
      </c>
      <c r="S27" s="355"/>
    </row>
    <row r="28" spans="1:19" ht="51" customHeight="1" x14ac:dyDescent="0.25">
      <c r="A28" s="474"/>
      <c r="B28" s="479"/>
      <c r="C28" s="378"/>
      <c r="D28" s="164" t="s">
        <v>18</v>
      </c>
      <c r="E28" s="164" t="s">
        <v>262</v>
      </c>
      <c r="F28" s="160" t="s">
        <v>278</v>
      </c>
      <c r="G28" s="164" t="s">
        <v>267</v>
      </c>
      <c r="H28" s="165"/>
      <c r="I28" s="165"/>
      <c r="J28" s="165"/>
      <c r="K28" s="166"/>
      <c r="L28" s="166">
        <v>102.6</v>
      </c>
      <c r="M28" s="165">
        <v>46.4</v>
      </c>
      <c r="N28" s="165">
        <v>436.4</v>
      </c>
      <c r="O28" s="165">
        <v>0</v>
      </c>
      <c r="P28" s="161">
        <f t="shared" si="2"/>
        <v>0</v>
      </c>
      <c r="Q28" s="161">
        <f t="shared" si="0"/>
        <v>0</v>
      </c>
      <c r="R28" s="162">
        <f t="shared" si="1"/>
        <v>585.4</v>
      </c>
      <c r="S28" s="355"/>
    </row>
    <row r="29" spans="1:19" ht="60" customHeight="1" x14ac:dyDescent="0.25">
      <c r="A29" s="474"/>
      <c r="B29" s="479"/>
      <c r="C29" s="378"/>
      <c r="D29" s="164" t="s">
        <v>18</v>
      </c>
      <c r="E29" s="164" t="s">
        <v>262</v>
      </c>
      <c r="F29" s="160" t="s">
        <v>279</v>
      </c>
      <c r="G29" s="164" t="s">
        <v>264</v>
      </c>
      <c r="H29" s="165"/>
      <c r="I29" s="165"/>
      <c r="J29" s="165"/>
      <c r="K29" s="166"/>
      <c r="L29" s="166">
        <v>613.20000000000005</v>
      </c>
      <c r="M29" s="165">
        <v>283</v>
      </c>
      <c r="N29" s="165">
        <v>2616.6</v>
      </c>
      <c r="O29" s="165">
        <v>0</v>
      </c>
      <c r="P29" s="161">
        <f t="shared" si="2"/>
        <v>0</v>
      </c>
      <c r="Q29" s="161">
        <f t="shared" si="0"/>
        <v>0</v>
      </c>
      <c r="R29" s="162">
        <f t="shared" si="1"/>
        <v>3512.8</v>
      </c>
      <c r="S29" s="355"/>
    </row>
    <row r="30" spans="1:19" ht="24.95" customHeight="1" x14ac:dyDescent="0.25">
      <c r="A30" s="474"/>
      <c r="B30" s="479"/>
      <c r="C30" s="378"/>
      <c r="D30" s="164" t="s">
        <v>18</v>
      </c>
      <c r="E30" s="164" t="s">
        <v>262</v>
      </c>
      <c r="F30" s="160" t="s">
        <v>280</v>
      </c>
      <c r="G30" s="164" t="s">
        <v>266</v>
      </c>
      <c r="H30" s="165"/>
      <c r="I30" s="165"/>
      <c r="J30" s="165"/>
      <c r="K30" s="166">
        <v>99</v>
      </c>
      <c r="L30" s="166"/>
      <c r="M30" s="165"/>
      <c r="N30" s="165"/>
      <c r="O30" s="165"/>
      <c r="P30" s="161">
        <f t="shared" si="2"/>
        <v>0</v>
      </c>
      <c r="Q30" s="161">
        <f t="shared" si="0"/>
        <v>0</v>
      </c>
      <c r="R30" s="162">
        <f t="shared" si="1"/>
        <v>99</v>
      </c>
      <c r="S30" s="355"/>
    </row>
    <row r="31" spans="1:19" ht="24.95" customHeight="1" x14ac:dyDescent="0.25">
      <c r="A31" s="474"/>
      <c r="B31" s="479"/>
      <c r="C31" s="378"/>
      <c r="D31" s="164" t="s">
        <v>18</v>
      </c>
      <c r="E31" s="164" t="s">
        <v>262</v>
      </c>
      <c r="F31" s="164" t="s">
        <v>281</v>
      </c>
      <c r="G31" s="164" t="s">
        <v>264</v>
      </c>
      <c r="H31" s="165">
        <v>181.4</v>
      </c>
      <c r="I31" s="165"/>
      <c r="J31" s="165"/>
      <c r="K31" s="166"/>
      <c r="L31" s="166"/>
      <c r="M31" s="165"/>
      <c r="N31" s="165"/>
      <c r="O31" s="165"/>
      <c r="P31" s="161">
        <f t="shared" si="2"/>
        <v>0</v>
      </c>
      <c r="Q31" s="161">
        <f t="shared" si="0"/>
        <v>0</v>
      </c>
      <c r="R31" s="162">
        <f t="shared" si="1"/>
        <v>181.4</v>
      </c>
      <c r="S31" s="355"/>
    </row>
    <row r="32" spans="1:19" ht="24.95" customHeight="1" x14ac:dyDescent="0.25">
      <c r="A32" s="474"/>
      <c r="B32" s="464"/>
      <c r="C32" s="429"/>
      <c r="D32" s="164" t="s">
        <v>18</v>
      </c>
      <c r="E32" s="164" t="s">
        <v>262</v>
      </c>
      <c r="F32" s="164" t="s">
        <v>281</v>
      </c>
      <c r="G32" s="164" t="s">
        <v>267</v>
      </c>
      <c r="H32" s="165">
        <v>35.299999999999997</v>
      </c>
      <c r="I32" s="165"/>
      <c r="J32" s="166"/>
      <c r="K32" s="166"/>
      <c r="L32" s="166"/>
      <c r="M32" s="165"/>
      <c r="N32" s="165"/>
      <c r="O32" s="165"/>
      <c r="P32" s="161">
        <f t="shared" si="2"/>
        <v>0</v>
      </c>
      <c r="Q32" s="161">
        <f t="shared" si="0"/>
        <v>0</v>
      </c>
      <c r="R32" s="162">
        <f t="shared" si="1"/>
        <v>35.299999999999997</v>
      </c>
      <c r="S32" s="355"/>
    </row>
    <row r="33" spans="1:19" ht="54.75" customHeight="1" x14ac:dyDescent="0.25">
      <c r="A33" s="475"/>
      <c r="B33" s="167" t="s">
        <v>282</v>
      </c>
      <c r="C33" s="61" t="s">
        <v>261</v>
      </c>
      <c r="D33" s="164" t="s">
        <v>18</v>
      </c>
      <c r="E33" s="164" t="s">
        <v>262</v>
      </c>
      <c r="F33" s="164" t="s">
        <v>15</v>
      </c>
      <c r="G33" s="164" t="s">
        <v>15</v>
      </c>
      <c r="H33" s="165">
        <v>13162.3</v>
      </c>
      <c r="I33" s="165">
        <v>12443.8</v>
      </c>
      <c r="J33" s="166">
        <v>16587.599999999999</v>
      </c>
      <c r="K33" s="166">
        <v>19415.5</v>
      </c>
      <c r="L33" s="166">
        <v>21251.4</v>
      </c>
      <c r="M33" s="165">
        <v>20373.5</v>
      </c>
      <c r="N33" s="168">
        <v>14964.7</v>
      </c>
      <c r="O33" s="165">
        <v>22400.2</v>
      </c>
      <c r="P33" s="165">
        <v>22400.2</v>
      </c>
      <c r="Q33" s="161">
        <f t="shared" si="0"/>
        <v>22400.2</v>
      </c>
      <c r="R33" s="162">
        <f t="shared" si="1"/>
        <v>185399.40000000002</v>
      </c>
      <c r="S33" s="373"/>
    </row>
    <row r="34" spans="1:19" ht="32.25" customHeight="1" x14ac:dyDescent="0.25">
      <c r="A34" s="460" t="s">
        <v>114</v>
      </c>
      <c r="B34" s="463" t="s">
        <v>283</v>
      </c>
      <c r="C34" s="377" t="s">
        <v>261</v>
      </c>
      <c r="D34" s="164" t="s">
        <v>18</v>
      </c>
      <c r="E34" s="164" t="s">
        <v>262</v>
      </c>
      <c r="F34" s="164" t="s">
        <v>284</v>
      </c>
      <c r="G34" s="164" t="s">
        <v>266</v>
      </c>
      <c r="H34" s="165">
        <v>2036.1</v>
      </c>
      <c r="I34" s="165"/>
      <c r="J34" s="165"/>
      <c r="K34" s="166"/>
      <c r="L34" s="166"/>
      <c r="M34" s="165"/>
      <c r="N34" s="165"/>
      <c r="O34" s="165"/>
      <c r="P34" s="161">
        <f t="shared" si="2"/>
        <v>0</v>
      </c>
      <c r="Q34" s="161">
        <f t="shared" si="0"/>
        <v>0</v>
      </c>
      <c r="R34" s="162">
        <f t="shared" si="1"/>
        <v>2036.1</v>
      </c>
      <c r="S34" s="465" t="s">
        <v>285</v>
      </c>
    </row>
    <row r="35" spans="1:19" ht="39" customHeight="1" x14ac:dyDescent="0.25">
      <c r="A35" s="461"/>
      <c r="B35" s="464"/>
      <c r="C35" s="429"/>
      <c r="D35" s="164" t="s">
        <v>18</v>
      </c>
      <c r="E35" s="164" t="s">
        <v>262</v>
      </c>
      <c r="F35" s="164" t="s">
        <v>286</v>
      </c>
      <c r="G35" s="164" t="s">
        <v>266</v>
      </c>
      <c r="H35" s="165">
        <v>511.1</v>
      </c>
      <c r="I35" s="165"/>
      <c r="J35" s="165"/>
      <c r="K35" s="166"/>
      <c r="L35" s="166"/>
      <c r="M35" s="165"/>
      <c r="N35" s="165"/>
      <c r="O35" s="165"/>
      <c r="P35" s="161">
        <f t="shared" si="2"/>
        <v>0</v>
      </c>
      <c r="Q35" s="161">
        <f t="shared" si="0"/>
        <v>0</v>
      </c>
      <c r="R35" s="162">
        <f t="shared" si="1"/>
        <v>511.1</v>
      </c>
      <c r="S35" s="466"/>
    </row>
    <row r="36" spans="1:19" ht="39" customHeight="1" x14ac:dyDescent="0.25">
      <c r="A36" s="461"/>
      <c r="B36" s="169"/>
      <c r="C36" s="41"/>
      <c r="D36" s="164"/>
      <c r="E36" s="164" t="s">
        <v>262</v>
      </c>
      <c r="F36" s="164" t="s">
        <v>287</v>
      </c>
      <c r="G36" s="164" t="s">
        <v>264</v>
      </c>
      <c r="H36" s="165"/>
      <c r="I36" s="165"/>
      <c r="J36" s="165"/>
      <c r="K36" s="166"/>
      <c r="L36" s="166"/>
      <c r="M36" s="165"/>
      <c r="N36" s="165">
        <v>153.19999999999999</v>
      </c>
      <c r="O36" s="165"/>
      <c r="P36" s="161"/>
      <c r="Q36" s="161"/>
      <c r="R36" s="162"/>
      <c r="S36" s="466"/>
    </row>
    <row r="37" spans="1:19" ht="39" customHeight="1" x14ac:dyDescent="0.25">
      <c r="A37" s="461"/>
      <c r="B37" s="169"/>
      <c r="C37" s="377" t="s">
        <v>261</v>
      </c>
      <c r="D37" s="164"/>
      <c r="E37" s="164" t="s">
        <v>262</v>
      </c>
      <c r="F37" s="164" t="s">
        <v>287</v>
      </c>
      <c r="G37" s="164" t="s">
        <v>266</v>
      </c>
      <c r="H37" s="165"/>
      <c r="I37" s="165"/>
      <c r="J37" s="165"/>
      <c r="K37" s="166"/>
      <c r="L37" s="166"/>
      <c r="M37" s="165"/>
      <c r="N37" s="165">
        <v>2237.5</v>
      </c>
      <c r="O37" s="165"/>
      <c r="P37" s="161"/>
      <c r="Q37" s="161">
        <f t="shared" si="0"/>
        <v>0</v>
      </c>
      <c r="R37" s="162">
        <f t="shared" si="1"/>
        <v>2237.5</v>
      </c>
      <c r="S37" s="466"/>
    </row>
    <row r="38" spans="1:19" ht="69" customHeight="1" x14ac:dyDescent="0.25">
      <c r="A38" s="462"/>
      <c r="B38" s="170" t="s">
        <v>288</v>
      </c>
      <c r="C38" s="429"/>
      <c r="D38" s="164" t="s">
        <v>18</v>
      </c>
      <c r="E38" s="164" t="s">
        <v>262</v>
      </c>
      <c r="F38" s="164" t="s">
        <v>289</v>
      </c>
      <c r="G38" s="164" t="s">
        <v>266</v>
      </c>
      <c r="H38" s="165">
        <v>20.5</v>
      </c>
      <c r="I38" s="165">
        <v>0</v>
      </c>
      <c r="J38" s="165">
        <v>0</v>
      </c>
      <c r="K38" s="166"/>
      <c r="L38" s="166"/>
      <c r="M38" s="165"/>
      <c r="N38" s="165"/>
      <c r="O38" s="165"/>
      <c r="P38" s="161">
        <f t="shared" si="2"/>
        <v>0</v>
      </c>
      <c r="Q38" s="161">
        <f t="shared" si="0"/>
        <v>0</v>
      </c>
      <c r="R38" s="162">
        <f t="shared" si="1"/>
        <v>20.5</v>
      </c>
      <c r="S38" s="467"/>
    </row>
    <row r="39" spans="1:19" s="58" customFormat="1" ht="35.25" customHeight="1" x14ac:dyDescent="0.25">
      <c r="A39" s="468" t="s">
        <v>116</v>
      </c>
      <c r="B39" s="470" t="s">
        <v>290</v>
      </c>
      <c r="C39" s="377" t="s">
        <v>261</v>
      </c>
      <c r="D39" s="164" t="s">
        <v>18</v>
      </c>
      <c r="E39" s="164" t="s">
        <v>262</v>
      </c>
      <c r="F39" s="164" t="s">
        <v>291</v>
      </c>
      <c r="G39" s="164" t="s">
        <v>266</v>
      </c>
      <c r="H39" s="165">
        <v>3.4</v>
      </c>
      <c r="I39" s="165">
        <v>3.4</v>
      </c>
      <c r="J39" s="165"/>
      <c r="K39" s="166"/>
      <c r="L39" s="166"/>
      <c r="M39" s="165"/>
      <c r="N39" s="165"/>
      <c r="O39" s="165"/>
      <c r="P39" s="161">
        <f t="shared" si="2"/>
        <v>0</v>
      </c>
      <c r="Q39" s="161">
        <f t="shared" si="0"/>
        <v>0</v>
      </c>
      <c r="R39" s="162">
        <f t="shared" si="1"/>
        <v>6.8</v>
      </c>
      <c r="S39" s="447"/>
    </row>
    <row r="40" spans="1:19" s="58" customFormat="1" ht="53.25" customHeight="1" x14ac:dyDescent="0.25">
      <c r="A40" s="469"/>
      <c r="B40" s="471"/>
      <c r="C40" s="429"/>
      <c r="D40" s="171" t="s">
        <v>18</v>
      </c>
      <c r="E40" s="171" t="s">
        <v>262</v>
      </c>
      <c r="F40" s="164" t="s">
        <v>291</v>
      </c>
      <c r="G40" s="164" t="s">
        <v>268</v>
      </c>
      <c r="H40" s="165">
        <v>0.6</v>
      </c>
      <c r="I40" s="165">
        <v>0.6</v>
      </c>
      <c r="J40" s="165"/>
      <c r="K40" s="166"/>
      <c r="L40" s="166"/>
      <c r="M40" s="165"/>
      <c r="N40" s="165"/>
      <c r="O40" s="165"/>
      <c r="P40" s="161">
        <f t="shared" si="2"/>
        <v>0</v>
      </c>
      <c r="Q40" s="161">
        <f t="shared" si="0"/>
        <v>0</v>
      </c>
      <c r="R40" s="162">
        <f t="shared" si="1"/>
        <v>1.2</v>
      </c>
      <c r="S40" s="448"/>
    </row>
    <row r="41" spans="1:19" ht="35.1" customHeight="1" x14ac:dyDescent="0.25">
      <c r="A41" s="456" t="s">
        <v>119</v>
      </c>
      <c r="B41" s="452" t="s">
        <v>292</v>
      </c>
      <c r="C41" s="377" t="s">
        <v>261</v>
      </c>
      <c r="D41" s="171" t="s">
        <v>18</v>
      </c>
      <c r="E41" s="171" t="s">
        <v>293</v>
      </c>
      <c r="F41" s="164" t="s">
        <v>294</v>
      </c>
      <c r="G41" s="164" t="s">
        <v>295</v>
      </c>
      <c r="H41" s="165">
        <v>2490.8000000000002</v>
      </c>
      <c r="I41" s="165">
        <v>2975.5</v>
      </c>
      <c r="J41" s="165">
        <v>5157.1000000000004</v>
      </c>
      <c r="K41" s="166">
        <v>3953.2</v>
      </c>
      <c r="L41" s="166">
        <f>3232.2-682.5</f>
        <v>2549.6999999999998</v>
      </c>
      <c r="M41" s="165">
        <v>3541.5</v>
      </c>
      <c r="N41" s="165">
        <v>1724.1</v>
      </c>
      <c r="O41" s="165">
        <v>3209.2</v>
      </c>
      <c r="P41" s="165">
        <v>3209.2</v>
      </c>
      <c r="Q41" s="161">
        <f t="shared" si="0"/>
        <v>3209.2</v>
      </c>
      <c r="R41" s="162">
        <f t="shared" si="1"/>
        <v>32019.500000000004</v>
      </c>
      <c r="S41" s="447" t="s">
        <v>296</v>
      </c>
    </row>
    <row r="42" spans="1:19" ht="45" customHeight="1" x14ac:dyDescent="0.25">
      <c r="A42" s="457"/>
      <c r="B42" s="453"/>
      <c r="C42" s="429"/>
      <c r="D42" s="171" t="s">
        <v>18</v>
      </c>
      <c r="E42" s="171" t="s">
        <v>293</v>
      </c>
      <c r="F42" s="164" t="s">
        <v>294</v>
      </c>
      <c r="G42" s="164" t="s">
        <v>297</v>
      </c>
      <c r="H42" s="165">
        <v>27</v>
      </c>
      <c r="I42" s="165"/>
      <c r="J42" s="165"/>
      <c r="K42" s="166"/>
      <c r="L42" s="166"/>
      <c r="M42" s="165"/>
      <c r="N42" s="165"/>
      <c r="O42" s="165"/>
      <c r="P42" s="161">
        <f t="shared" si="2"/>
        <v>0</v>
      </c>
      <c r="Q42" s="161">
        <f t="shared" si="0"/>
        <v>0</v>
      </c>
      <c r="R42" s="162">
        <f t="shared" si="1"/>
        <v>27</v>
      </c>
      <c r="S42" s="448"/>
    </row>
    <row r="43" spans="1:19" ht="35.1" customHeight="1" x14ac:dyDescent="0.25">
      <c r="A43" s="450" t="s">
        <v>298</v>
      </c>
      <c r="B43" s="458" t="s">
        <v>299</v>
      </c>
      <c r="C43" s="377" t="s">
        <v>261</v>
      </c>
      <c r="D43" s="164" t="s">
        <v>18</v>
      </c>
      <c r="E43" s="171" t="s">
        <v>262</v>
      </c>
      <c r="F43" s="171" t="s">
        <v>300</v>
      </c>
      <c r="G43" s="164" t="s">
        <v>266</v>
      </c>
      <c r="H43" s="165">
        <v>274.89999999999998</v>
      </c>
      <c r="I43" s="165">
        <v>279.10000000000002</v>
      </c>
      <c r="J43" s="165">
        <v>474.8</v>
      </c>
      <c r="K43" s="166">
        <v>380</v>
      </c>
      <c r="L43" s="166">
        <v>522.29999999999995</v>
      </c>
      <c r="M43" s="165">
        <v>301.3</v>
      </c>
      <c r="N43" s="165">
        <v>471.3</v>
      </c>
      <c r="O43" s="165">
        <v>471.3</v>
      </c>
      <c r="P43" s="165">
        <v>471.3</v>
      </c>
      <c r="Q43" s="161">
        <f t="shared" si="0"/>
        <v>471.3</v>
      </c>
      <c r="R43" s="162">
        <f t="shared" si="1"/>
        <v>4117.6000000000004</v>
      </c>
      <c r="S43" s="447" t="s">
        <v>301</v>
      </c>
    </row>
    <row r="44" spans="1:19" ht="35.1" customHeight="1" x14ac:dyDescent="0.25">
      <c r="A44" s="451"/>
      <c r="B44" s="459"/>
      <c r="C44" s="429"/>
      <c r="D44" s="164" t="s">
        <v>18</v>
      </c>
      <c r="E44" s="171" t="s">
        <v>262</v>
      </c>
      <c r="F44" s="171" t="s">
        <v>300</v>
      </c>
      <c r="G44" s="164" t="s">
        <v>268</v>
      </c>
      <c r="H44" s="165">
        <v>19</v>
      </c>
      <c r="I44" s="165">
        <v>25.1</v>
      </c>
      <c r="J44" s="165">
        <v>36.799999999999997</v>
      </c>
      <c r="K44" s="166">
        <v>52.6</v>
      </c>
      <c r="L44" s="166">
        <v>76.7</v>
      </c>
      <c r="M44" s="165">
        <v>19.2</v>
      </c>
      <c r="N44" s="165">
        <v>127</v>
      </c>
      <c r="O44" s="165">
        <v>127</v>
      </c>
      <c r="P44" s="165">
        <v>127</v>
      </c>
      <c r="Q44" s="161">
        <f t="shared" si="0"/>
        <v>127</v>
      </c>
      <c r="R44" s="162">
        <f t="shared" si="1"/>
        <v>737.4</v>
      </c>
      <c r="S44" s="448"/>
    </row>
    <row r="45" spans="1:19" ht="44.25" customHeight="1" x14ac:dyDescent="0.25">
      <c r="A45" s="450" t="s">
        <v>302</v>
      </c>
      <c r="B45" s="452" t="s">
        <v>303</v>
      </c>
      <c r="C45" s="377" t="s">
        <v>261</v>
      </c>
      <c r="D45" s="454" t="s">
        <v>18</v>
      </c>
      <c r="E45" s="164" t="s">
        <v>262</v>
      </c>
      <c r="F45" s="164" t="s">
        <v>304</v>
      </c>
      <c r="G45" s="164" t="s">
        <v>266</v>
      </c>
      <c r="H45" s="165">
        <v>4242.3</v>
      </c>
      <c r="I45" s="165">
        <v>0</v>
      </c>
      <c r="J45" s="165"/>
      <c r="K45" s="166"/>
      <c r="L45" s="166"/>
      <c r="M45" s="165"/>
      <c r="N45" s="165"/>
      <c r="O45" s="165"/>
      <c r="P45" s="161">
        <f t="shared" si="2"/>
        <v>0</v>
      </c>
      <c r="Q45" s="161">
        <f t="shared" si="0"/>
        <v>0</v>
      </c>
      <c r="R45" s="162">
        <f t="shared" si="1"/>
        <v>4242.3</v>
      </c>
      <c r="S45" s="447" t="s">
        <v>305</v>
      </c>
    </row>
    <row r="46" spans="1:19" ht="42" customHeight="1" x14ac:dyDescent="0.25">
      <c r="A46" s="451"/>
      <c r="B46" s="453"/>
      <c r="C46" s="378"/>
      <c r="D46" s="455"/>
      <c r="E46" s="164" t="s">
        <v>262</v>
      </c>
      <c r="F46" s="164" t="s">
        <v>306</v>
      </c>
      <c r="G46" s="164" t="s">
        <v>266</v>
      </c>
      <c r="H46" s="165">
        <v>15008.8</v>
      </c>
      <c r="I46" s="165"/>
      <c r="J46" s="165"/>
      <c r="K46" s="166"/>
      <c r="L46" s="166"/>
      <c r="M46" s="165"/>
      <c r="N46" s="165"/>
      <c r="O46" s="165"/>
      <c r="P46" s="161">
        <f t="shared" si="2"/>
        <v>0</v>
      </c>
      <c r="Q46" s="161">
        <f t="shared" si="0"/>
        <v>0</v>
      </c>
      <c r="R46" s="162">
        <f t="shared" si="1"/>
        <v>15008.8</v>
      </c>
      <c r="S46" s="448"/>
    </row>
    <row r="47" spans="1:19" ht="35.1" customHeight="1" x14ac:dyDescent="0.25">
      <c r="A47" s="172" t="s">
        <v>307</v>
      </c>
      <c r="B47" s="173" t="s">
        <v>308</v>
      </c>
      <c r="C47" s="429"/>
      <c r="D47" s="164" t="s">
        <v>18</v>
      </c>
      <c r="E47" s="164" t="s">
        <v>262</v>
      </c>
      <c r="F47" s="164" t="s">
        <v>309</v>
      </c>
      <c r="G47" s="164" t="s">
        <v>266</v>
      </c>
      <c r="H47" s="165">
        <v>1500.9</v>
      </c>
      <c r="I47" s="165"/>
      <c r="J47" s="165"/>
      <c r="K47" s="166"/>
      <c r="L47" s="166"/>
      <c r="M47" s="165"/>
      <c r="N47" s="165"/>
      <c r="O47" s="165"/>
      <c r="P47" s="161">
        <f t="shared" si="2"/>
        <v>0</v>
      </c>
      <c r="Q47" s="161">
        <f t="shared" si="0"/>
        <v>0</v>
      </c>
      <c r="R47" s="162">
        <f t="shared" si="1"/>
        <v>1500.9</v>
      </c>
      <c r="S47" s="174"/>
    </row>
    <row r="48" spans="1:19" ht="49.5" customHeight="1" x14ac:dyDescent="0.25">
      <c r="A48" s="450" t="s">
        <v>310</v>
      </c>
      <c r="B48" s="452" t="s">
        <v>311</v>
      </c>
      <c r="C48" s="377" t="s">
        <v>261</v>
      </c>
      <c r="D48" s="164" t="s">
        <v>18</v>
      </c>
      <c r="E48" s="164" t="s">
        <v>262</v>
      </c>
      <c r="F48" s="164" t="s">
        <v>312</v>
      </c>
      <c r="G48" s="164" t="s">
        <v>268</v>
      </c>
      <c r="H48" s="165">
        <v>2</v>
      </c>
      <c r="I48" s="165"/>
      <c r="J48" s="165"/>
      <c r="K48" s="166"/>
      <c r="L48" s="166"/>
      <c r="M48" s="165"/>
      <c r="N48" s="165"/>
      <c r="O48" s="165"/>
      <c r="P48" s="161">
        <f t="shared" si="2"/>
        <v>0</v>
      </c>
      <c r="Q48" s="161">
        <f t="shared" si="0"/>
        <v>0</v>
      </c>
      <c r="R48" s="162">
        <f t="shared" si="1"/>
        <v>2</v>
      </c>
      <c r="S48" s="447" t="s">
        <v>313</v>
      </c>
    </row>
    <row r="49" spans="1:19" ht="62.25" customHeight="1" x14ac:dyDescent="0.25">
      <c r="A49" s="451"/>
      <c r="B49" s="453"/>
      <c r="C49" s="429"/>
      <c r="D49" s="164" t="s">
        <v>18</v>
      </c>
      <c r="E49" s="164" t="s">
        <v>262</v>
      </c>
      <c r="F49" s="164" t="s">
        <v>312</v>
      </c>
      <c r="G49" s="164" t="s">
        <v>266</v>
      </c>
      <c r="H49" s="165">
        <v>3</v>
      </c>
      <c r="I49" s="165"/>
      <c r="J49" s="165"/>
      <c r="K49" s="166"/>
      <c r="L49" s="166"/>
      <c r="M49" s="165"/>
      <c r="N49" s="165"/>
      <c r="O49" s="165"/>
      <c r="P49" s="161">
        <f t="shared" si="2"/>
        <v>0</v>
      </c>
      <c r="Q49" s="161">
        <f t="shared" si="0"/>
        <v>0</v>
      </c>
      <c r="R49" s="162">
        <f t="shared" si="1"/>
        <v>3</v>
      </c>
      <c r="S49" s="448"/>
    </row>
    <row r="50" spans="1:19" ht="35.1" customHeight="1" x14ac:dyDescent="0.25">
      <c r="A50" s="446" t="s">
        <v>314</v>
      </c>
      <c r="B50" s="447" t="s">
        <v>315</v>
      </c>
      <c r="C50" s="377" t="s">
        <v>261</v>
      </c>
      <c r="D50" s="160" t="s">
        <v>18</v>
      </c>
      <c r="E50" s="160" t="s">
        <v>316</v>
      </c>
      <c r="F50" s="160" t="s">
        <v>317</v>
      </c>
      <c r="G50" s="6">
        <v>622</v>
      </c>
      <c r="H50" s="165">
        <v>13</v>
      </c>
      <c r="I50" s="165">
        <v>13</v>
      </c>
      <c r="J50" s="175"/>
      <c r="K50" s="176"/>
      <c r="L50" s="176"/>
      <c r="M50" s="175"/>
      <c r="N50" s="175"/>
      <c r="O50" s="175"/>
      <c r="P50" s="161">
        <f t="shared" si="2"/>
        <v>0</v>
      </c>
      <c r="Q50" s="161">
        <f t="shared" si="0"/>
        <v>0</v>
      </c>
      <c r="R50" s="162">
        <f t="shared" si="1"/>
        <v>26</v>
      </c>
      <c r="S50" s="356" t="s">
        <v>318</v>
      </c>
    </row>
    <row r="51" spans="1:19" ht="36" customHeight="1" x14ac:dyDescent="0.25">
      <c r="A51" s="446"/>
      <c r="B51" s="448"/>
      <c r="C51" s="429"/>
      <c r="D51" s="160" t="s">
        <v>18</v>
      </c>
      <c r="E51" s="160" t="s">
        <v>316</v>
      </c>
      <c r="F51" s="160" t="s">
        <v>317</v>
      </c>
      <c r="G51" s="6">
        <v>244</v>
      </c>
      <c r="H51" s="165"/>
      <c r="I51" s="165"/>
      <c r="J51" s="165"/>
      <c r="K51" s="166"/>
      <c r="L51" s="166"/>
      <c r="M51" s="165"/>
      <c r="N51" s="165"/>
      <c r="O51" s="165"/>
      <c r="P51" s="161">
        <f t="shared" si="2"/>
        <v>0</v>
      </c>
      <c r="Q51" s="161">
        <f t="shared" si="0"/>
        <v>0</v>
      </c>
      <c r="R51" s="162">
        <f t="shared" si="1"/>
        <v>0</v>
      </c>
      <c r="S51" s="449"/>
    </row>
    <row r="52" spans="1:19" ht="22.5" customHeight="1" x14ac:dyDescent="0.25">
      <c r="A52" s="441" t="s">
        <v>319</v>
      </c>
      <c r="B52" s="442"/>
      <c r="C52" s="177"/>
      <c r="D52" s="177"/>
      <c r="E52" s="178"/>
      <c r="F52" s="177"/>
      <c r="G52" s="177"/>
      <c r="H52" s="166">
        <f t="shared" ref="H52:O52" si="3">SUM(H7:H51)</f>
        <v>198091.59999999992</v>
      </c>
      <c r="I52" s="166">
        <f t="shared" si="3"/>
        <v>204824.59999999998</v>
      </c>
      <c r="J52" s="166">
        <f t="shared" si="3"/>
        <v>219030.49999999997</v>
      </c>
      <c r="K52" s="166">
        <f t="shared" si="3"/>
        <v>218633.10000000003</v>
      </c>
      <c r="L52" s="166">
        <f t="shared" si="3"/>
        <v>229336.90000000002</v>
      </c>
      <c r="M52" s="165">
        <f t="shared" si="3"/>
        <v>267495.39999999997</v>
      </c>
      <c r="N52" s="165">
        <f t="shared" si="3"/>
        <v>272269.69999999995</v>
      </c>
      <c r="O52" s="165">
        <f t="shared" si="3"/>
        <v>270838.39999999997</v>
      </c>
      <c r="P52" s="161">
        <f t="shared" si="2"/>
        <v>270838.39999999997</v>
      </c>
      <c r="Q52" s="161">
        <f t="shared" si="0"/>
        <v>270838.39999999997</v>
      </c>
      <c r="R52" s="162">
        <f t="shared" si="1"/>
        <v>2422196.9999999995</v>
      </c>
      <c r="S52" s="25"/>
    </row>
    <row r="53" spans="1:19" ht="20.25" customHeight="1" x14ac:dyDescent="0.25">
      <c r="A53" s="441" t="s">
        <v>320</v>
      </c>
      <c r="B53" s="442"/>
      <c r="C53" s="179"/>
      <c r="D53" s="179"/>
      <c r="E53" s="179"/>
      <c r="F53" s="179"/>
      <c r="G53" s="179"/>
      <c r="H53" s="166">
        <f t="shared" ref="H53:M53" si="4">H52</f>
        <v>198091.59999999992</v>
      </c>
      <c r="I53" s="166">
        <f t="shared" si="4"/>
        <v>204824.59999999998</v>
      </c>
      <c r="J53" s="166">
        <f t="shared" si="4"/>
        <v>219030.49999999997</v>
      </c>
      <c r="K53" s="166">
        <f t="shared" si="4"/>
        <v>218633.10000000003</v>
      </c>
      <c r="L53" s="166">
        <f t="shared" si="4"/>
        <v>229336.90000000002</v>
      </c>
      <c r="M53" s="165">
        <f t="shared" si="4"/>
        <v>267495.39999999997</v>
      </c>
      <c r="N53" s="165">
        <f>N52</f>
        <v>272269.69999999995</v>
      </c>
      <c r="O53" s="165">
        <f>O52</f>
        <v>270838.39999999997</v>
      </c>
      <c r="P53" s="161">
        <f t="shared" si="2"/>
        <v>270838.39999999997</v>
      </c>
      <c r="Q53" s="161">
        <f t="shared" si="0"/>
        <v>270838.39999999997</v>
      </c>
      <c r="R53" s="162">
        <f t="shared" si="1"/>
        <v>2422196.9999999995</v>
      </c>
      <c r="S53" s="25"/>
    </row>
    <row r="54" spans="1:19" ht="20.25" customHeight="1" x14ac:dyDescent="0.25">
      <c r="A54" s="441" t="s">
        <v>321</v>
      </c>
      <c r="B54" s="442"/>
      <c r="C54" s="179" t="s">
        <v>321</v>
      </c>
      <c r="D54" s="179"/>
      <c r="E54" s="179"/>
      <c r="F54" s="179"/>
      <c r="G54" s="179"/>
      <c r="H54" s="166">
        <f>H16+H17+H18+H19+H20+H21+H22+H23+H24+H25+H26+H27+H31+H32+H34+H35+H41+H42+H43+H44+H45+H46</f>
        <v>92552.900000000023</v>
      </c>
      <c r="I54" s="166">
        <f>I16+I17+I18+I19+I20+I21+I22+I23+I24+I25+I26+I27+I31+I32+I34+I35+I41+I42+I43+I44+I45+I46</f>
        <v>81485.8</v>
      </c>
      <c r="J54" s="166">
        <f>J16+J17+J18+J19+J20+J21+J22+J23+J24+J25+J26+J27+J31+J32+J34+J35+J41+J42+J43+J44+J45+J46</f>
        <v>116158.70000000001</v>
      </c>
      <c r="K54" s="166">
        <f>K16+K17+K18+K19+K20+K21+K22+K23+K24+K25+K26+K27+K31+K32+K34+K35+K41+K42+K43+K44+K45+K46+K30</f>
        <v>122752.3</v>
      </c>
      <c r="L54" s="166">
        <f>L16+L17+L18+L19+L20+L21+L22+L23+L24+L25+L26+L27+L31+L32+L34+L35+L41+L42+L43+L44+L45+L46+L28+L29</f>
        <v>129296.8</v>
      </c>
      <c r="M54" s="165">
        <f>M16+M17+M18+M19+M20+M21+M22+M23+M24+M25+M26+M27+M31+M32+M34+M35+M41+M42+M43+M44+M45+M46+M28+M29+M14</f>
        <v>147632</v>
      </c>
      <c r="N54" s="180">
        <f>N16+N17+N18+N19+N20+N21+N22+N23+N24+N25+N26+N27+N31+N32+N34+N35+N41+N42+N43+N44+N45+N46+N28+N29+N37+N36</f>
        <v>167024.9</v>
      </c>
      <c r="O54" s="168">
        <f>O16+O17+O18+O19+O20+O21+O22+O23+O24+O25+O26+O27+O31+O32+O34+O35+O41+O42+O43+O44+O45+O46</f>
        <v>159606.79999999999</v>
      </c>
      <c r="P54" s="181">
        <f t="shared" si="2"/>
        <v>159606.79999999999</v>
      </c>
      <c r="Q54" s="161">
        <f t="shared" si="0"/>
        <v>159606.79999999999</v>
      </c>
      <c r="R54" s="162">
        <f t="shared" si="1"/>
        <v>1335723.8</v>
      </c>
      <c r="S54" s="25"/>
    </row>
    <row r="55" spans="1:19" ht="20.25" customHeight="1" x14ac:dyDescent="0.25">
      <c r="A55" s="441" t="s">
        <v>322</v>
      </c>
      <c r="B55" s="442"/>
      <c r="C55" s="179" t="s">
        <v>322</v>
      </c>
      <c r="D55" s="179"/>
      <c r="E55" s="179"/>
      <c r="F55" s="179"/>
      <c r="G55" s="179"/>
      <c r="H55" s="166">
        <f>H7+H8+H9+H10+H11+H12+H14+H15+H38+H39+H40+H47+H48+H49+H50+H51</f>
        <v>92376.4</v>
      </c>
      <c r="I55" s="166">
        <f>I7+I8+I9+I10+I11+I12+I14+I15+I38+I39+I40+I47+I48+I49+I50+I51</f>
        <v>110895</v>
      </c>
      <c r="J55" s="166">
        <f>J7+J8+J9+J10+J11+J12+J14+J15+J38+J39+J40+J47+J48+J49+J50+J51</f>
        <v>86284.2</v>
      </c>
      <c r="K55" s="166">
        <f>K7+K8+K9+K10+K11+K12+K14+K15+K38+K39+K40+K47+K48+K49+K50+K51</f>
        <v>76465.3</v>
      </c>
      <c r="L55" s="166">
        <f>L7+L8+L9+L10+L11+L12+L14+L15+L38+L39+L40+L47+L48+L49+L50+L51</f>
        <v>78788.700000000012</v>
      </c>
      <c r="M55" s="165">
        <f>M7+M8+M9+M10+M11+M12+M15+M38+M39+M40+M47+M48+M49+M50+M51+M13</f>
        <v>99489.9</v>
      </c>
      <c r="N55" s="180">
        <f>N7+N8+N9+N10+N11+N12+N14+N15+N38+N39+N40+N47+N48+N49+N50+N51+N13</f>
        <v>90280.099999999991</v>
      </c>
      <c r="O55" s="168">
        <f>O7+O8+O9+O10+O11+O12+O14+O15+O38+O39+O40+O47+O48+O49+O50+O51+O13</f>
        <v>88831.400000000009</v>
      </c>
      <c r="P55" s="181">
        <f>O55-0.1</f>
        <v>88831.3</v>
      </c>
      <c r="Q55" s="161">
        <f t="shared" si="0"/>
        <v>88831.3</v>
      </c>
      <c r="R55" s="162">
        <f t="shared" si="1"/>
        <v>901073.60000000009</v>
      </c>
      <c r="S55" s="25"/>
    </row>
    <row r="56" spans="1:19" ht="20.25" customHeight="1" x14ac:dyDescent="0.25">
      <c r="A56" s="441" t="s">
        <v>323</v>
      </c>
      <c r="B56" s="442"/>
      <c r="C56" s="179" t="s">
        <v>323</v>
      </c>
      <c r="D56" s="179"/>
      <c r="E56" s="179"/>
      <c r="F56" s="179"/>
      <c r="G56" s="179"/>
      <c r="H56" s="166">
        <f t="shared" ref="H56:O56" si="5">H33</f>
        <v>13162.3</v>
      </c>
      <c r="I56" s="166">
        <f t="shared" si="5"/>
        <v>12443.8</v>
      </c>
      <c r="J56" s="165">
        <f t="shared" si="5"/>
        <v>16587.599999999999</v>
      </c>
      <c r="K56" s="166">
        <f t="shared" si="5"/>
        <v>19415.5</v>
      </c>
      <c r="L56" s="166">
        <f t="shared" si="5"/>
        <v>21251.4</v>
      </c>
      <c r="M56" s="165">
        <f t="shared" si="5"/>
        <v>20373.5</v>
      </c>
      <c r="N56" s="165">
        <f t="shared" si="5"/>
        <v>14964.7</v>
      </c>
      <c r="O56" s="165">
        <f t="shared" si="5"/>
        <v>22400.2</v>
      </c>
      <c r="P56" s="161">
        <f t="shared" si="2"/>
        <v>22400.2</v>
      </c>
      <c r="Q56" s="161">
        <f t="shared" si="0"/>
        <v>22400.2</v>
      </c>
      <c r="R56" s="162">
        <f t="shared" si="1"/>
        <v>185399.40000000002</v>
      </c>
      <c r="S56" s="25"/>
    </row>
    <row r="57" spans="1:19" s="184" customFormat="1" x14ac:dyDescent="0.25">
      <c r="A57" s="443"/>
      <c r="B57" s="443"/>
      <c r="C57" s="182"/>
      <c r="D57" s="182"/>
      <c r="E57" s="182"/>
      <c r="F57" s="182"/>
      <c r="G57" s="182"/>
      <c r="H57" s="182"/>
      <c r="I57" s="183"/>
      <c r="J57" s="183"/>
      <c r="K57" s="135"/>
      <c r="L57" s="135"/>
      <c r="M57" s="125"/>
      <c r="N57" s="125"/>
      <c r="O57" s="125"/>
      <c r="P57" s="125"/>
      <c r="Q57" s="125"/>
      <c r="R57" s="135"/>
      <c r="S57" s="135"/>
    </row>
    <row r="58" spans="1:19" s="135" customFormat="1" x14ac:dyDescent="0.25">
      <c r="A58" s="444"/>
      <c r="B58" s="444"/>
      <c r="C58" s="185"/>
      <c r="D58" s="185"/>
      <c r="E58" s="185"/>
      <c r="F58" s="185"/>
      <c r="G58" s="185"/>
      <c r="H58" s="185"/>
      <c r="I58" s="185"/>
      <c r="J58" s="185"/>
      <c r="K58" s="185"/>
      <c r="M58" s="125"/>
      <c r="N58" s="125"/>
      <c r="O58" s="125"/>
      <c r="P58" s="125"/>
      <c r="Q58" s="125"/>
      <c r="R58" s="186"/>
    </row>
    <row r="59" spans="1:19" x14ac:dyDescent="0.25">
      <c r="A59" s="445" t="s">
        <v>33</v>
      </c>
      <c r="B59" s="445"/>
      <c r="C59" s="445"/>
      <c r="D59" s="187"/>
      <c r="E59" s="187"/>
      <c r="F59" s="187"/>
      <c r="G59" s="187"/>
      <c r="H59" s="187"/>
      <c r="I59" s="188"/>
      <c r="S59" s="188" t="s">
        <v>34</v>
      </c>
    </row>
    <row r="60" spans="1:19" x14ac:dyDescent="0.25">
      <c r="A60" s="189"/>
      <c r="B60" s="190"/>
      <c r="C60" s="191"/>
      <c r="D60" s="191"/>
      <c r="E60" s="191"/>
      <c r="F60" s="191"/>
      <c r="G60" s="191"/>
      <c r="H60" s="191"/>
    </row>
    <row r="61" spans="1:19" x14ac:dyDescent="0.25">
      <c r="A61" s="189"/>
      <c r="B61" s="190"/>
      <c r="C61" s="191"/>
      <c r="D61" s="191"/>
      <c r="E61" s="191"/>
      <c r="F61" s="191"/>
      <c r="G61" s="191"/>
      <c r="H61" s="191"/>
    </row>
    <row r="62" spans="1:19" x14ac:dyDescent="0.25">
      <c r="A62" s="189"/>
      <c r="B62" s="190"/>
      <c r="C62" s="191"/>
      <c r="D62" s="191"/>
      <c r="E62" s="191"/>
      <c r="F62" s="191"/>
      <c r="G62" s="191"/>
      <c r="H62" s="191"/>
    </row>
    <row r="63" spans="1:19" x14ac:dyDescent="0.25">
      <c r="A63" s="189"/>
      <c r="B63" s="190"/>
      <c r="C63" s="191"/>
      <c r="D63" s="191"/>
      <c r="E63" s="191"/>
      <c r="F63" s="191"/>
      <c r="G63" s="191"/>
      <c r="H63" s="191"/>
    </row>
    <row r="64" spans="1:19" x14ac:dyDescent="0.25">
      <c r="A64" s="189"/>
      <c r="B64" s="190"/>
      <c r="C64" s="191"/>
      <c r="D64" s="191"/>
      <c r="E64" s="191"/>
      <c r="F64" s="191"/>
      <c r="G64" s="191"/>
      <c r="H64" s="191"/>
    </row>
    <row r="65" spans="1:8" x14ac:dyDescent="0.25">
      <c r="A65" s="189"/>
      <c r="B65" s="190"/>
      <c r="C65" s="191"/>
      <c r="D65" s="191"/>
      <c r="E65" s="191"/>
      <c r="F65" s="191"/>
      <c r="G65" s="191"/>
      <c r="H65" s="191"/>
    </row>
    <row r="66" spans="1:8" x14ac:dyDescent="0.25">
      <c r="A66" s="189"/>
      <c r="B66" s="190"/>
      <c r="C66" s="191"/>
      <c r="D66" s="191"/>
      <c r="E66" s="191"/>
      <c r="F66" s="191"/>
      <c r="G66" s="191"/>
      <c r="H66" s="191"/>
    </row>
    <row r="67" spans="1:8" x14ac:dyDescent="0.25">
      <c r="A67" s="189"/>
      <c r="B67" s="190"/>
      <c r="C67" s="191"/>
      <c r="D67" s="191"/>
      <c r="E67" s="191"/>
      <c r="F67" s="191"/>
      <c r="G67" s="191"/>
      <c r="H67" s="191"/>
    </row>
    <row r="68" spans="1:8" x14ac:dyDescent="0.25">
      <c r="A68" s="189"/>
      <c r="B68" s="190"/>
      <c r="C68" s="191"/>
      <c r="D68" s="191"/>
      <c r="E68" s="191"/>
      <c r="F68" s="191"/>
      <c r="G68" s="191"/>
      <c r="H68" s="191"/>
    </row>
    <row r="69" spans="1:8" x14ac:dyDescent="0.25">
      <c r="A69" s="189"/>
      <c r="B69" s="190"/>
      <c r="C69" s="191"/>
      <c r="D69" s="191"/>
      <c r="E69" s="191"/>
      <c r="F69" s="191"/>
      <c r="G69" s="191"/>
      <c r="H69" s="191"/>
    </row>
    <row r="70" spans="1:8" x14ac:dyDescent="0.25">
      <c r="A70" s="189"/>
      <c r="B70" s="190"/>
      <c r="C70" s="191"/>
      <c r="D70" s="191"/>
      <c r="E70" s="191"/>
      <c r="F70" s="191"/>
      <c r="G70" s="191"/>
      <c r="H70" s="191"/>
    </row>
    <row r="71" spans="1:8" x14ac:dyDescent="0.25">
      <c r="A71" s="189"/>
      <c r="B71" s="190"/>
      <c r="C71" s="191"/>
      <c r="D71" s="191"/>
      <c r="E71" s="191"/>
      <c r="F71" s="191"/>
      <c r="G71" s="191"/>
      <c r="H71" s="191"/>
    </row>
    <row r="72" spans="1:8" x14ac:dyDescent="0.25">
      <c r="A72" s="189"/>
      <c r="B72" s="190"/>
      <c r="C72" s="191"/>
      <c r="D72" s="191"/>
      <c r="E72" s="191"/>
      <c r="F72" s="191"/>
      <c r="G72" s="191"/>
      <c r="H72" s="191"/>
    </row>
    <row r="73" spans="1:8" x14ac:dyDescent="0.25">
      <c r="A73" s="189"/>
      <c r="B73" s="190"/>
      <c r="C73" s="191"/>
      <c r="D73" s="191"/>
      <c r="E73" s="191"/>
      <c r="F73" s="191"/>
      <c r="G73" s="191"/>
      <c r="H73" s="191"/>
    </row>
    <row r="74" spans="1:8" x14ac:dyDescent="0.25">
      <c r="A74" s="189"/>
      <c r="B74" s="190"/>
      <c r="C74" s="191"/>
      <c r="D74" s="191"/>
      <c r="E74" s="191"/>
      <c r="F74" s="191"/>
      <c r="G74" s="191"/>
      <c r="H74" s="191"/>
    </row>
    <row r="75" spans="1:8" x14ac:dyDescent="0.25">
      <c r="A75" s="189"/>
      <c r="B75" s="190"/>
      <c r="C75" s="191"/>
      <c r="D75" s="191"/>
      <c r="E75" s="191"/>
      <c r="F75" s="191"/>
      <c r="G75" s="191"/>
      <c r="H75" s="191"/>
    </row>
    <row r="76" spans="1:8" x14ac:dyDescent="0.25">
      <c r="A76" s="189"/>
      <c r="B76" s="190"/>
      <c r="C76" s="191"/>
      <c r="D76" s="191"/>
      <c r="E76" s="191"/>
      <c r="F76" s="191"/>
      <c r="G76" s="191"/>
      <c r="H76" s="191"/>
    </row>
    <row r="77" spans="1:8" x14ac:dyDescent="0.25">
      <c r="A77" s="189"/>
      <c r="B77" s="190"/>
      <c r="C77" s="191"/>
      <c r="D77" s="191"/>
      <c r="E77" s="191"/>
      <c r="F77" s="191"/>
      <c r="G77" s="191"/>
      <c r="H77" s="191"/>
    </row>
    <row r="78" spans="1:8" x14ac:dyDescent="0.25">
      <c r="A78" s="189"/>
      <c r="B78" s="190"/>
      <c r="C78" s="191"/>
      <c r="D78" s="191"/>
      <c r="E78" s="191"/>
      <c r="F78" s="191"/>
      <c r="G78" s="191"/>
      <c r="H78" s="191"/>
    </row>
    <row r="79" spans="1:8" x14ac:dyDescent="0.25">
      <c r="A79" s="189"/>
      <c r="B79" s="190"/>
      <c r="C79" s="191"/>
      <c r="D79" s="191"/>
      <c r="E79" s="191"/>
      <c r="F79" s="191"/>
      <c r="G79" s="191"/>
      <c r="H79" s="191"/>
    </row>
    <row r="80" spans="1:8" x14ac:dyDescent="0.25">
      <c r="A80" s="189"/>
      <c r="B80" s="190"/>
      <c r="C80" s="191"/>
      <c r="D80" s="191"/>
      <c r="E80" s="191"/>
      <c r="F80" s="191"/>
      <c r="G80" s="191"/>
      <c r="H80" s="191"/>
    </row>
    <row r="81" spans="1:8" x14ac:dyDescent="0.25">
      <c r="A81" s="189"/>
      <c r="B81" s="190"/>
      <c r="C81" s="191"/>
      <c r="D81" s="191"/>
      <c r="E81" s="191"/>
      <c r="F81" s="191"/>
      <c r="G81" s="191"/>
      <c r="H81" s="191"/>
    </row>
    <row r="82" spans="1:8" x14ac:dyDescent="0.25">
      <c r="A82" s="189"/>
      <c r="B82" s="190"/>
      <c r="C82" s="191"/>
      <c r="D82" s="191"/>
      <c r="E82" s="191"/>
      <c r="F82" s="191"/>
      <c r="G82" s="191"/>
      <c r="H82" s="191"/>
    </row>
    <row r="83" spans="1:8" x14ac:dyDescent="0.25">
      <c r="A83" s="189"/>
      <c r="B83" s="190"/>
      <c r="C83" s="191"/>
      <c r="D83" s="191"/>
      <c r="E83" s="191"/>
      <c r="F83" s="191"/>
      <c r="G83" s="191"/>
      <c r="H83" s="191"/>
    </row>
    <row r="84" spans="1:8" x14ac:dyDescent="0.25">
      <c r="A84" s="189"/>
      <c r="B84" s="190"/>
      <c r="C84" s="191"/>
      <c r="D84" s="191"/>
      <c r="E84" s="191"/>
      <c r="F84" s="191"/>
      <c r="G84" s="191"/>
      <c r="H84" s="191"/>
    </row>
    <row r="85" spans="1:8" x14ac:dyDescent="0.25">
      <c r="A85" s="189"/>
      <c r="B85" s="190"/>
      <c r="C85" s="191"/>
      <c r="D85" s="191"/>
      <c r="E85" s="191"/>
      <c r="F85" s="191"/>
      <c r="G85" s="191"/>
      <c r="H85" s="191"/>
    </row>
    <row r="86" spans="1:8" x14ac:dyDescent="0.25">
      <c r="A86" s="189"/>
      <c r="B86" s="190"/>
      <c r="C86" s="191"/>
      <c r="D86" s="191"/>
      <c r="E86" s="191"/>
      <c r="F86" s="191"/>
      <c r="G86" s="191"/>
      <c r="H86" s="191"/>
    </row>
    <row r="87" spans="1:8" x14ac:dyDescent="0.25">
      <c r="A87" s="189"/>
      <c r="B87" s="190"/>
      <c r="C87" s="191"/>
      <c r="D87" s="191"/>
      <c r="E87" s="191"/>
      <c r="F87" s="191"/>
      <c r="G87" s="191"/>
      <c r="H87" s="191"/>
    </row>
    <row r="88" spans="1:8" x14ac:dyDescent="0.25">
      <c r="A88" s="189"/>
      <c r="B88" s="190"/>
      <c r="C88" s="191"/>
      <c r="D88" s="191"/>
      <c r="E88" s="191"/>
      <c r="F88" s="191"/>
      <c r="G88" s="191"/>
      <c r="H88" s="191"/>
    </row>
    <row r="89" spans="1:8" x14ac:dyDescent="0.25">
      <c r="A89" s="189"/>
      <c r="B89" s="190"/>
      <c r="C89" s="191"/>
      <c r="D89" s="191"/>
      <c r="E89" s="191"/>
      <c r="F89" s="191"/>
      <c r="G89" s="191"/>
      <c r="H89" s="191"/>
    </row>
    <row r="90" spans="1:8" x14ac:dyDescent="0.25">
      <c r="A90" s="189"/>
      <c r="B90" s="190"/>
      <c r="C90" s="191"/>
      <c r="D90" s="191"/>
      <c r="E90" s="191"/>
      <c r="F90" s="191"/>
      <c r="G90" s="191"/>
      <c r="H90" s="191"/>
    </row>
    <row r="91" spans="1:8" x14ac:dyDescent="0.25">
      <c r="A91" s="189"/>
      <c r="B91" s="190"/>
      <c r="C91" s="191"/>
      <c r="D91" s="191"/>
      <c r="E91" s="191"/>
      <c r="F91" s="191"/>
      <c r="G91" s="191"/>
      <c r="H91" s="191"/>
    </row>
    <row r="92" spans="1:8" x14ac:dyDescent="0.25">
      <c r="A92" s="189"/>
      <c r="B92" s="190"/>
      <c r="C92" s="191"/>
      <c r="D92" s="191"/>
      <c r="E92" s="191"/>
      <c r="F92" s="191"/>
      <c r="G92" s="191"/>
      <c r="H92" s="191"/>
    </row>
    <row r="93" spans="1:8" x14ac:dyDescent="0.25">
      <c r="A93" s="189"/>
      <c r="B93" s="190"/>
      <c r="C93" s="191"/>
      <c r="D93" s="191"/>
      <c r="E93" s="191"/>
      <c r="F93" s="191"/>
      <c r="G93" s="191"/>
      <c r="H93" s="191"/>
    </row>
    <row r="94" spans="1:8" x14ac:dyDescent="0.25">
      <c r="A94" s="189"/>
      <c r="B94" s="190"/>
      <c r="C94" s="191"/>
      <c r="D94" s="191"/>
      <c r="E94" s="191"/>
      <c r="F94" s="191"/>
      <c r="G94" s="191"/>
      <c r="H94" s="191"/>
    </row>
    <row r="95" spans="1:8" x14ac:dyDescent="0.25">
      <c r="A95" s="189"/>
      <c r="B95" s="190"/>
      <c r="C95" s="191"/>
      <c r="D95" s="191"/>
      <c r="E95" s="191"/>
      <c r="F95" s="191"/>
      <c r="G95" s="191"/>
      <c r="H95" s="191"/>
    </row>
    <row r="96" spans="1:8" x14ac:dyDescent="0.25">
      <c r="A96" s="189"/>
      <c r="B96" s="190"/>
      <c r="C96" s="191"/>
      <c r="D96" s="191"/>
      <c r="E96" s="191"/>
      <c r="F96" s="191"/>
      <c r="G96" s="191"/>
      <c r="H96" s="191"/>
    </row>
  </sheetData>
  <autoFilter ref="A4:V53"/>
  <mergeCells count="55">
    <mergeCell ref="I1:J1"/>
    <mergeCell ref="R1:S1"/>
    <mergeCell ref="A2:S2"/>
    <mergeCell ref="A3:A4"/>
    <mergeCell ref="B3:B4"/>
    <mergeCell ref="C3:C4"/>
    <mergeCell ref="D3:G3"/>
    <mergeCell ref="I3:R3"/>
    <mergeCell ref="S3:S4"/>
    <mergeCell ref="A39:A40"/>
    <mergeCell ref="B39:B40"/>
    <mergeCell ref="C39:C40"/>
    <mergeCell ref="S39:S40"/>
    <mergeCell ref="A5:S5"/>
    <mergeCell ref="A6:S6"/>
    <mergeCell ref="A7:A33"/>
    <mergeCell ref="B7:B15"/>
    <mergeCell ref="C7:C15"/>
    <mergeCell ref="S7:S33"/>
    <mergeCell ref="B16:B32"/>
    <mergeCell ref="C16:C32"/>
    <mergeCell ref="A34:A38"/>
    <mergeCell ref="B34:B35"/>
    <mergeCell ref="C34:C35"/>
    <mergeCell ref="S34:S38"/>
    <mergeCell ref="C37:C38"/>
    <mergeCell ref="A48:A49"/>
    <mergeCell ref="B48:B49"/>
    <mergeCell ref="C48:C49"/>
    <mergeCell ref="S48:S49"/>
    <mergeCell ref="A41:A42"/>
    <mergeCell ref="B41:B42"/>
    <mergeCell ref="C41:C42"/>
    <mergeCell ref="S41:S42"/>
    <mergeCell ref="A43:A44"/>
    <mergeCell ref="B43:B44"/>
    <mergeCell ref="C43:C44"/>
    <mergeCell ref="S43:S44"/>
    <mergeCell ref="A45:A46"/>
    <mergeCell ref="B45:B46"/>
    <mergeCell ref="C45:C47"/>
    <mergeCell ref="D45:D46"/>
    <mergeCell ref="S45:S46"/>
    <mergeCell ref="A59:C59"/>
    <mergeCell ref="A50:A51"/>
    <mergeCell ref="B50:B51"/>
    <mergeCell ref="C50:C51"/>
    <mergeCell ref="S50:S51"/>
    <mergeCell ref="A52:B52"/>
    <mergeCell ref="A53:B53"/>
    <mergeCell ref="A54:B54"/>
    <mergeCell ref="A55:B55"/>
    <mergeCell ref="A56:B56"/>
    <mergeCell ref="A57:B57"/>
    <mergeCell ref="A58:B58"/>
  </mergeCells>
  <pageMargins left="0.51181102362204722" right="0.39370078740157483" top="0.55118110236220474" bottom="0.35433070866141736" header="0.31496062992125984" footer="0.31496062992125984"/>
  <pageSetup paperSize="9" scale="43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3"/>
  <sheetViews>
    <sheetView view="pageBreakPreview" zoomScale="79" zoomScaleNormal="79" zoomScaleSheetLayoutView="79" workbookViewId="0">
      <pane ySplit="5" topLeftCell="A21" activePane="bottomLeft" state="frozen"/>
      <selection activeCell="Q12" sqref="Q12"/>
      <selection pane="bottomLeft" activeCell="U28" sqref="U28"/>
    </sheetView>
  </sheetViews>
  <sheetFormatPr defaultRowHeight="15.75" x14ac:dyDescent="0.25"/>
  <cols>
    <col min="1" max="1" width="6.28515625" style="128" customWidth="1"/>
    <col min="2" max="2" width="79.140625" style="36" customWidth="1"/>
    <col min="3" max="3" width="12" style="36" customWidth="1"/>
    <col min="4" max="4" width="11.42578125" style="36" hidden="1" customWidth="1"/>
    <col min="5" max="7" width="11.42578125" style="36" customWidth="1"/>
    <col min="8" max="10" width="11.42578125" style="58" customWidth="1"/>
    <col min="11" max="11" width="9.140625" style="58"/>
    <col min="12" max="12" width="8.140625" style="36" customWidth="1"/>
    <col min="13" max="13" width="9.140625" style="36" customWidth="1"/>
    <col min="14" max="16384" width="9.140625" style="36"/>
  </cols>
  <sheetData>
    <row r="1" spans="1:16" ht="36.75" customHeight="1" x14ac:dyDescent="0.25">
      <c r="A1" s="75"/>
      <c r="B1" s="76"/>
      <c r="C1" s="77"/>
      <c r="E1" s="411" t="s">
        <v>324</v>
      </c>
      <c r="F1" s="411"/>
      <c r="G1" s="411"/>
      <c r="H1" s="411"/>
      <c r="I1" s="411"/>
      <c r="J1" s="411"/>
      <c r="K1" s="411"/>
      <c r="L1" s="411"/>
    </row>
    <row r="2" spans="1:16" ht="37.5" customHeight="1" x14ac:dyDescent="0.25">
      <c r="A2" s="430" t="s">
        <v>246</v>
      </c>
      <c r="B2" s="430"/>
      <c r="C2" s="430"/>
      <c r="D2" s="430"/>
      <c r="E2" s="430"/>
      <c r="F2" s="430"/>
      <c r="G2" s="430"/>
      <c r="H2" s="430"/>
      <c r="I2" s="430"/>
      <c r="J2" s="430"/>
    </row>
    <row r="3" spans="1:16" ht="25.5" customHeight="1" x14ac:dyDescent="0.25">
      <c r="A3" s="413" t="s">
        <v>90</v>
      </c>
      <c r="B3" s="406" t="s">
        <v>247</v>
      </c>
      <c r="C3" s="406" t="s">
        <v>92</v>
      </c>
      <c r="D3" s="359" t="s">
        <v>95</v>
      </c>
      <c r="E3" s="359" t="s">
        <v>41</v>
      </c>
      <c r="F3" s="359" t="s">
        <v>42</v>
      </c>
      <c r="G3" s="359" t="s">
        <v>43</v>
      </c>
      <c r="H3" s="379" t="s">
        <v>44</v>
      </c>
      <c r="I3" s="379" t="s">
        <v>45</v>
      </c>
      <c r="J3" s="379" t="s">
        <v>46</v>
      </c>
      <c r="K3" s="379" t="s">
        <v>47</v>
      </c>
      <c r="L3" s="379" t="s">
        <v>48</v>
      </c>
      <c r="M3" s="379" t="s">
        <v>49</v>
      </c>
      <c r="N3" s="379" t="s">
        <v>50</v>
      </c>
    </row>
    <row r="4" spans="1:16" ht="12.75" customHeight="1" x14ac:dyDescent="0.25">
      <c r="A4" s="413"/>
      <c r="B4" s="406"/>
      <c r="C4" s="406"/>
      <c r="D4" s="359"/>
      <c r="E4" s="359"/>
      <c r="F4" s="359"/>
      <c r="G4" s="359"/>
      <c r="H4" s="379"/>
      <c r="I4" s="379"/>
      <c r="J4" s="379"/>
      <c r="K4" s="379"/>
      <c r="L4" s="379"/>
      <c r="M4" s="379"/>
      <c r="N4" s="379"/>
    </row>
    <row r="5" spans="1:16" ht="25.5" customHeight="1" x14ac:dyDescent="0.25">
      <c r="A5" s="413"/>
      <c r="B5" s="406"/>
      <c r="C5" s="406"/>
      <c r="D5" s="359"/>
      <c r="E5" s="359"/>
      <c r="F5" s="359"/>
      <c r="G5" s="359"/>
      <c r="H5" s="379"/>
      <c r="I5" s="379"/>
      <c r="J5" s="379"/>
      <c r="K5" s="379"/>
      <c r="L5" s="379"/>
      <c r="M5" s="379"/>
      <c r="N5" s="379"/>
    </row>
    <row r="6" spans="1:16" ht="35.1" customHeight="1" x14ac:dyDescent="0.25">
      <c r="A6" s="406" t="s">
        <v>325</v>
      </c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</row>
    <row r="7" spans="1:16" ht="35.1" customHeight="1" x14ac:dyDescent="0.25">
      <c r="A7" s="359" t="s">
        <v>326</v>
      </c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</row>
    <row r="8" spans="1:16" ht="35.1" customHeight="1" x14ac:dyDescent="0.25">
      <c r="A8" s="23" t="s">
        <v>250</v>
      </c>
      <c r="B8" s="194" t="s">
        <v>327</v>
      </c>
      <c r="C8" s="22" t="s">
        <v>98</v>
      </c>
      <c r="D8" s="195">
        <v>546.29999999999995</v>
      </c>
      <c r="E8" s="94">
        <v>57.12</v>
      </c>
      <c r="F8" s="94">
        <v>71.400000000000006</v>
      </c>
      <c r="G8" s="94">
        <v>85.7</v>
      </c>
      <c r="H8" s="102">
        <v>85.7</v>
      </c>
      <c r="I8" s="89">
        <v>85.7</v>
      </c>
      <c r="J8" s="89">
        <v>85.7</v>
      </c>
      <c r="K8" s="89">
        <v>85.7</v>
      </c>
      <c r="L8" s="89">
        <v>85.7</v>
      </c>
      <c r="M8" s="89">
        <v>85.7</v>
      </c>
      <c r="N8" s="88">
        <f>M8</f>
        <v>85.7</v>
      </c>
    </row>
    <row r="9" spans="1:16" s="58" customFormat="1" ht="35.1" customHeight="1" x14ac:dyDescent="0.25">
      <c r="A9" s="141" t="s">
        <v>251</v>
      </c>
      <c r="B9" s="196" t="s">
        <v>130</v>
      </c>
      <c r="C9" s="24" t="s">
        <v>98</v>
      </c>
      <c r="D9" s="63">
        <v>80</v>
      </c>
      <c r="E9" s="102">
        <v>75</v>
      </c>
      <c r="F9" s="102">
        <v>75</v>
      </c>
      <c r="G9" s="102">
        <v>75</v>
      </c>
      <c r="H9" s="102">
        <v>85</v>
      </c>
      <c r="I9" s="102">
        <v>85</v>
      </c>
      <c r="J9" s="102">
        <v>85</v>
      </c>
      <c r="K9" s="102">
        <v>85</v>
      </c>
      <c r="L9" s="102">
        <v>85</v>
      </c>
      <c r="M9" s="102">
        <v>85</v>
      </c>
      <c r="N9" s="88">
        <f t="shared" ref="N9:N30" si="0">M9</f>
        <v>85</v>
      </c>
      <c r="O9" s="197"/>
      <c r="P9" s="197"/>
    </row>
    <row r="10" spans="1:16" ht="35.1" customHeight="1" x14ac:dyDescent="0.25">
      <c r="A10" s="23" t="s">
        <v>252</v>
      </c>
      <c r="B10" s="198" t="s">
        <v>132</v>
      </c>
      <c r="C10" s="22" t="s">
        <v>133</v>
      </c>
      <c r="D10" s="22" t="s">
        <v>128</v>
      </c>
      <c r="E10" s="94">
        <v>9</v>
      </c>
      <c r="F10" s="95">
        <v>8</v>
      </c>
      <c r="G10" s="95">
        <v>8</v>
      </c>
      <c r="H10" s="102">
        <v>8</v>
      </c>
      <c r="I10" s="89">
        <v>8</v>
      </c>
      <c r="J10" s="89">
        <v>8</v>
      </c>
      <c r="K10" s="89">
        <v>8</v>
      </c>
      <c r="L10" s="89">
        <v>8</v>
      </c>
      <c r="M10" s="89">
        <v>8</v>
      </c>
      <c r="N10" s="88">
        <f t="shared" si="0"/>
        <v>8</v>
      </c>
    </row>
    <row r="11" spans="1:16" ht="35.1" customHeight="1" x14ac:dyDescent="0.25">
      <c r="A11" s="23" t="s">
        <v>254</v>
      </c>
      <c r="B11" s="198" t="s">
        <v>135</v>
      </c>
      <c r="C11" s="22" t="s">
        <v>98</v>
      </c>
      <c r="D11" s="22"/>
      <c r="E11" s="94">
        <v>100</v>
      </c>
      <c r="F11" s="95">
        <v>100</v>
      </c>
      <c r="G11" s="95">
        <v>100</v>
      </c>
      <c r="H11" s="102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88">
        <f t="shared" si="0"/>
        <v>100</v>
      </c>
    </row>
    <row r="12" spans="1:16" ht="35.1" customHeight="1" x14ac:dyDescent="0.25">
      <c r="A12" s="23" t="s">
        <v>328</v>
      </c>
      <c r="B12" s="198" t="s">
        <v>137</v>
      </c>
      <c r="C12" s="22" t="s">
        <v>133</v>
      </c>
      <c r="D12" s="22" t="s">
        <v>128</v>
      </c>
      <c r="E12" s="94">
        <v>6</v>
      </c>
      <c r="F12" s="95">
        <v>7</v>
      </c>
      <c r="G12" s="95">
        <v>7</v>
      </c>
      <c r="H12" s="102">
        <v>7</v>
      </c>
      <c r="I12" s="102">
        <v>7</v>
      </c>
      <c r="J12" s="102">
        <v>7</v>
      </c>
      <c r="K12" s="102">
        <v>7</v>
      </c>
      <c r="L12" s="102">
        <v>7</v>
      </c>
      <c r="M12" s="102">
        <v>7</v>
      </c>
      <c r="N12" s="88">
        <f t="shared" si="0"/>
        <v>7</v>
      </c>
    </row>
    <row r="13" spans="1:16" ht="35.1" customHeight="1" x14ac:dyDescent="0.25">
      <c r="A13" s="483" t="s">
        <v>329</v>
      </c>
      <c r="B13" s="484"/>
      <c r="C13" s="484"/>
      <c r="D13" s="484"/>
      <c r="E13" s="484"/>
      <c r="F13" s="484"/>
      <c r="G13" s="484"/>
      <c r="H13" s="484"/>
      <c r="I13" s="484"/>
      <c r="J13" s="484"/>
      <c r="K13" s="484"/>
      <c r="L13" s="484"/>
      <c r="M13" s="484"/>
      <c r="N13" s="484"/>
    </row>
    <row r="14" spans="1:16" ht="31.5" x14ac:dyDescent="0.25">
      <c r="A14" s="23" t="s">
        <v>330</v>
      </c>
      <c r="B14" s="198" t="s">
        <v>140</v>
      </c>
      <c r="C14" s="81" t="s">
        <v>98</v>
      </c>
      <c r="D14" s="81">
        <v>1.96</v>
      </c>
      <c r="E14" s="94">
        <v>87.5</v>
      </c>
      <c r="F14" s="95">
        <v>100</v>
      </c>
      <c r="G14" s="95">
        <v>100</v>
      </c>
      <c r="H14" s="102">
        <v>100</v>
      </c>
      <c r="I14" s="99">
        <v>100</v>
      </c>
      <c r="J14" s="99">
        <v>100</v>
      </c>
      <c r="K14" s="99">
        <v>100</v>
      </c>
      <c r="L14" s="99">
        <v>100</v>
      </c>
      <c r="M14" s="199">
        <v>100</v>
      </c>
      <c r="N14" s="85">
        <f t="shared" si="0"/>
        <v>100</v>
      </c>
    </row>
    <row r="15" spans="1:16" ht="31.5" x14ac:dyDescent="0.25">
      <c r="A15" s="23" t="s">
        <v>331</v>
      </c>
      <c r="B15" s="198" t="s">
        <v>142</v>
      </c>
      <c r="C15" s="22" t="s">
        <v>98</v>
      </c>
      <c r="D15" s="88">
        <v>2.34</v>
      </c>
      <c r="E15" s="94">
        <v>85</v>
      </c>
      <c r="F15" s="95">
        <v>89</v>
      </c>
      <c r="G15" s="95">
        <v>90</v>
      </c>
      <c r="H15" s="102">
        <v>90</v>
      </c>
      <c r="I15" s="99">
        <v>95</v>
      </c>
      <c r="J15" s="99">
        <v>95</v>
      </c>
      <c r="K15" s="99">
        <v>95</v>
      </c>
      <c r="L15" s="99">
        <v>95</v>
      </c>
      <c r="M15" s="199">
        <v>95</v>
      </c>
      <c r="N15" s="85">
        <f t="shared" si="0"/>
        <v>95</v>
      </c>
    </row>
    <row r="16" spans="1:16" ht="63" x14ac:dyDescent="0.25">
      <c r="A16" s="23" t="s">
        <v>332</v>
      </c>
      <c r="B16" s="198" t="s">
        <v>144</v>
      </c>
      <c r="C16" s="22" t="s">
        <v>98</v>
      </c>
      <c r="D16" s="88"/>
      <c r="E16" s="94">
        <v>10.199999999999999</v>
      </c>
      <c r="F16" s="95">
        <v>10.1</v>
      </c>
      <c r="G16" s="95">
        <v>10.1</v>
      </c>
      <c r="H16" s="102">
        <v>9.1</v>
      </c>
      <c r="I16" s="99">
        <v>9.5</v>
      </c>
      <c r="J16" s="99">
        <v>10.1</v>
      </c>
      <c r="K16" s="99">
        <v>10.1</v>
      </c>
      <c r="L16" s="99">
        <v>10.1</v>
      </c>
      <c r="M16" s="199">
        <v>10.1</v>
      </c>
      <c r="N16" s="85">
        <f t="shared" si="0"/>
        <v>10.1</v>
      </c>
    </row>
    <row r="17" spans="1:20" ht="63" x14ac:dyDescent="0.25">
      <c r="A17" s="23" t="s">
        <v>333</v>
      </c>
      <c r="B17" s="198" t="s">
        <v>146</v>
      </c>
      <c r="C17" s="22" t="s">
        <v>98</v>
      </c>
      <c r="D17" s="88"/>
      <c r="E17" s="94">
        <v>1.1299999999999999</v>
      </c>
      <c r="F17" s="95">
        <v>1.57</v>
      </c>
      <c r="G17" s="95">
        <v>1.72</v>
      </c>
      <c r="H17" s="102">
        <v>1.86</v>
      </c>
      <c r="I17" s="102">
        <v>1.87</v>
      </c>
      <c r="J17" s="102">
        <v>1.9</v>
      </c>
      <c r="K17" s="102">
        <v>1.9</v>
      </c>
      <c r="L17" s="102">
        <v>1.9</v>
      </c>
      <c r="M17" s="200">
        <v>1.9</v>
      </c>
      <c r="N17" s="85">
        <f t="shared" si="0"/>
        <v>1.9</v>
      </c>
    </row>
    <row r="18" spans="1:20" ht="47.25" x14ac:dyDescent="0.25">
      <c r="A18" s="23" t="s">
        <v>334</v>
      </c>
      <c r="B18" s="198" t="s">
        <v>148</v>
      </c>
      <c r="C18" s="22" t="s">
        <v>98</v>
      </c>
      <c r="D18" s="88"/>
      <c r="E18" s="94">
        <v>39</v>
      </c>
      <c r="F18" s="94">
        <v>41</v>
      </c>
      <c r="G18" s="94">
        <v>41</v>
      </c>
      <c r="H18" s="102">
        <v>42.5</v>
      </c>
      <c r="I18" s="99">
        <v>48.8</v>
      </c>
      <c r="J18" s="99">
        <v>50.2</v>
      </c>
      <c r="K18" s="99">
        <v>50.2</v>
      </c>
      <c r="L18" s="99">
        <v>50.2</v>
      </c>
      <c r="M18" s="199">
        <v>50.2</v>
      </c>
      <c r="N18" s="85">
        <f t="shared" si="0"/>
        <v>50.2</v>
      </c>
    </row>
    <row r="19" spans="1:20" ht="63" x14ac:dyDescent="0.25">
      <c r="A19" s="23" t="s">
        <v>335</v>
      </c>
      <c r="B19" s="194" t="s">
        <v>150</v>
      </c>
      <c r="C19" s="6" t="s">
        <v>98</v>
      </c>
      <c r="D19" s="88"/>
      <c r="E19" s="94">
        <v>1.96</v>
      </c>
      <c r="F19" s="94">
        <v>0</v>
      </c>
      <c r="G19" s="94">
        <v>0</v>
      </c>
      <c r="H19" s="102">
        <v>0</v>
      </c>
      <c r="I19" s="99">
        <v>0</v>
      </c>
      <c r="J19" s="99">
        <v>0</v>
      </c>
      <c r="K19" s="99">
        <v>0</v>
      </c>
      <c r="L19" s="99">
        <v>0</v>
      </c>
      <c r="M19" s="199">
        <v>0</v>
      </c>
      <c r="N19" s="85">
        <f t="shared" si="0"/>
        <v>0</v>
      </c>
    </row>
    <row r="20" spans="1:20" ht="47.25" x14ac:dyDescent="0.25">
      <c r="A20" s="23" t="s">
        <v>336</v>
      </c>
      <c r="B20" s="194" t="s">
        <v>152</v>
      </c>
      <c r="C20" s="6" t="s">
        <v>98</v>
      </c>
      <c r="D20" s="88"/>
      <c r="E20" s="94">
        <v>93.4</v>
      </c>
      <c r="F20" s="102">
        <v>93.5</v>
      </c>
      <c r="G20" s="102">
        <v>93.5</v>
      </c>
      <c r="H20" s="102">
        <v>93.5</v>
      </c>
      <c r="I20" s="99">
        <v>95</v>
      </c>
      <c r="J20" s="99">
        <v>95</v>
      </c>
      <c r="K20" s="99">
        <v>95</v>
      </c>
      <c r="L20" s="99">
        <v>95</v>
      </c>
      <c r="M20" s="199">
        <v>95</v>
      </c>
      <c r="N20" s="85">
        <f t="shared" si="0"/>
        <v>95</v>
      </c>
    </row>
    <row r="21" spans="1:20" ht="47.25" x14ac:dyDescent="0.25">
      <c r="A21" s="23" t="s">
        <v>337</v>
      </c>
      <c r="B21" s="194" t="s">
        <v>154</v>
      </c>
      <c r="C21" s="6" t="s">
        <v>98</v>
      </c>
      <c r="D21" s="88"/>
      <c r="E21" s="94">
        <v>92</v>
      </c>
      <c r="F21" s="102">
        <v>92</v>
      </c>
      <c r="G21" s="99">
        <v>92</v>
      </c>
      <c r="H21" s="99">
        <v>92</v>
      </c>
      <c r="I21" s="99">
        <v>92</v>
      </c>
      <c r="J21" s="99">
        <v>92</v>
      </c>
      <c r="K21" s="99">
        <v>92</v>
      </c>
      <c r="L21" s="99">
        <v>92</v>
      </c>
      <c r="M21" s="199">
        <v>92</v>
      </c>
      <c r="N21" s="85">
        <f t="shared" si="0"/>
        <v>92</v>
      </c>
    </row>
    <row r="22" spans="1:20" ht="31.5" x14ac:dyDescent="0.25">
      <c r="A22" s="23" t="s">
        <v>338</v>
      </c>
      <c r="B22" s="198" t="s">
        <v>156</v>
      </c>
      <c r="C22" s="5" t="s">
        <v>98</v>
      </c>
      <c r="D22" s="88"/>
      <c r="E22" s="94">
        <v>96</v>
      </c>
      <c r="F22" s="95">
        <v>96.5</v>
      </c>
      <c r="G22" s="96">
        <v>97</v>
      </c>
      <c r="H22" s="99">
        <v>97</v>
      </c>
      <c r="I22" s="99">
        <v>98</v>
      </c>
      <c r="J22" s="99">
        <v>98</v>
      </c>
      <c r="K22" s="99">
        <v>98</v>
      </c>
      <c r="L22" s="99">
        <v>98</v>
      </c>
      <c r="M22" s="199">
        <v>98</v>
      </c>
      <c r="N22" s="85">
        <f t="shared" si="0"/>
        <v>98</v>
      </c>
    </row>
    <row r="23" spans="1:20" ht="94.5" x14ac:dyDescent="0.25">
      <c r="A23" s="23" t="s">
        <v>339</v>
      </c>
      <c r="B23" s="194" t="s">
        <v>158</v>
      </c>
      <c r="C23" s="5" t="s">
        <v>98</v>
      </c>
      <c r="D23" s="88"/>
      <c r="E23" s="94">
        <v>2.5</v>
      </c>
      <c r="F23" s="95">
        <v>3</v>
      </c>
      <c r="G23" s="96">
        <v>3.4</v>
      </c>
      <c r="H23" s="99">
        <v>2.4</v>
      </c>
      <c r="I23" s="99">
        <v>2.8</v>
      </c>
      <c r="J23" s="99">
        <v>2.8</v>
      </c>
      <c r="K23" s="99">
        <v>2.8</v>
      </c>
      <c r="L23" s="99">
        <v>2.8</v>
      </c>
      <c r="M23" s="199">
        <v>2.8</v>
      </c>
      <c r="N23" s="85">
        <f t="shared" si="0"/>
        <v>2.8</v>
      </c>
    </row>
    <row r="24" spans="1:20" ht="39" customHeight="1" x14ac:dyDescent="0.25">
      <c r="A24" s="485" t="s">
        <v>340</v>
      </c>
      <c r="B24" s="486"/>
      <c r="C24" s="486"/>
      <c r="D24" s="486"/>
      <c r="E24" s="486"/>
      <c r="F24" s="486"/>
      <c r="G24" s="486"/>
      <c r="H24" s="486"/>
      <c r="I24" s="486"/>
      <c r="J24" s="486"/>
      <c r="K24" s="486"/>
      <c r="L24" s="486"/>
      <c r="M24" s="486"/>
      <c r="N24" s="487"/>
    </row>
    <row r="25" spans="1:20" ht="31.5" x14ac:dyDescent="0.25">
      <c r="A25" s="103" t="s">
        <v>341</v>
      </c>
      <c r="B25" s="198" t="s">
        <v>161</v>
      </c>
      <c r="C25" s="22" t="s">
        <v>98</v>
      </c>
      <c r="D25" s="81"/>
      <c r="E25" s="94">
        <v>75</v>
      </c>
      <c r="F25" s="95">
        <v>75</v>
      </c>
      <c r="G25" s="104">
        <v>75</v>
      </c>
      <c r="H25" s="84">
        <v>93</v>
      </c>
      <c r="I25" s="84">
        <v>93.2</v>
      </c>
      <c r="J25" s="84">
        <v>93.4</v>
      </c>
      <c r="K25" s="84">
        <v>93.5</v>
      </c>
      <c r="L25" s="84">
        <v>93.5</v>
      </c>
      <c r="M25" s="201">
        <v>93.5</v>
      </c>
      <c r="N25" s="85">
        <f t="shared" si="0"/>
        <v>93.5</v>
      </c>
      <c r="O25" s="202"/>
      <c r="P25" s="202"/>
      <c r="Q25" s="202"/>
      <c r="R25" s="202"/>
      <c r="S25" s="202"/>
      <c r="T25" s="202"/>
    </row>
    <row r="26" spans="1:20" ht="31.5" x14ac:dyDescent="0.25">
      <c r="A26" s="103" t="s">
        <v>342</v>
      </c>
      <c r="B26" s="196" t="s">
        <v>343</v>
      </c>
      <c r="C26" s="22" t="s">
        <v>98</v>
      </c>
      <c r="D26" s="81"/>
      <c r="E26" s="94">
        <v>67</v>
      </c>
      <c r="F26" s="95">
        <v>70</v>
      </c>
      <c r="G26" s="104">
        <v>72</v>
      </c>
      <c r="H26" s="84">
        <v>95</v>
      </c>
      <c r="I26" s="84">
        <v>95</v>
      </c>
      <c r="J26" s="84">
        <v>96</v>
      </c>
      <c r="K26" s="84">
        <v>97</v>
      </c>
      <c r="L26" s="84">
        <v>97</v>
      </c>
      <c r="M26" s="201">
        <v>97</v>
      </c>
      <c r="N26" s="85">
        <f t="shared" si="0"/>
        <v>97</v>
      </c>
      <c r="O26" s="202"/>
      <c r="P26" s="202"/>
      <c r="Q26" s="202"/>
      <c r="R26" s="202"/>
      <c r="S26" s="202"/>
      <c r="T26" s="202"/>
    </row>
    <row r="27" spans="1:20" ht="47.25" x14ac:dyDescent="0.25">
      <c r="A27" s="103" t="s">
        <v>344</v>
      </c>
      <c r="B27" s="194" t="s">
        <v>345</v>
      </c>
      <c r="C27" s="22" t="s">
        <v>98</v>
      </c>
      <c r="D27" s="81">
        <v>78.400000000000006</v>
      </c>
      <c r="E27" s="104">
        <v>81</v>
      </c>
      <c r="F27" s="104">
        <v>83</v>
      </c>
      <c r="G27" s="104">
        <v>85</v>
      </c>
      <c r="H27" s="84">
        <v>85</v>
      </c>
      <c r="I27" s="84">
        <v>85</v>
      </c>
      <c r="J27" s="84">
        <v>85</v>
      </c>
      <c r="K27" s="84">
        <v>85</v>
      </c>
      <c r="L27" s="84">
        <v>85</v>
      </c>
      <c r="M27" s="201">
        <v>85</v>
      </c>
      <c r="N27" s="85">
        <f t="shared" si="0"/>
        <v>85</v>
      </c>
    </row>
    <row r="28" spans="1:20" ht="31.5" x14ac:dyDescent="0.25">
      <c r="A28" s="103" t="s">
        <v>346</v>
      </c>
      <c r="B28" s="194" t="s">
        <v>165</v>
      </c>
      <c r="C28" s="22" t="s">
        <v>98</v>
      </c>
      <c r="D28" s="81"/>
      <c r="E28" s="94">
        <v>15</v>
      </c>
      <c r="F28" s="95">
        <v>15</v>
      </c>
      <c r="G28" s="104">
        <v>16.5</v>
      </c>
      <c r="H28" s="84">
        <v>18.3</v>
      </c>
      <c r="I28" s="84">
        <v>19.100000000000001</v>
      </c>
      <c r="J28" s="84">
        <v>19.5</v>
      </c>
      <c r="K28" s="84">
        <v>19.5</v>
      </c>
      <c r="L28" s="84">
        <v>19.5</v>
      </c>
      <c r="M28" s="201">
        <v>19.5</v>
      </c>
      <c r="N28" s="85">
        <f t="shared" si="0"/>
        <v>19.5</v>
      </c>
    </row>
    <row r="29" spans="1:20" ht="34.5" customHeight="1" x14ac:dyDescent="0.25">
      <c r="A29" s="485" t="s">
        <v>347</v>
      </c>
      <c r="B29" s="486"/>
      <c r="C29" s="486"/>
      <c r="D29" s="486"/>
      <c r="E29" s="486"/>
      <c r="F29" s="486"/>
      <c r="G29" s="486"/>
      <c r="H29" s="486"/>
      <c r="I29" s="486"/>
      <c r="J29" s="486"/>
      <c r="K29" s="486"/>
      <c r="L29" s="486"/>
      <c r="M29" s="486"/>
      <c r="N29" s="487"/>
    </row>
    <row r="30" spans="1:20" ht="47.25" x14ac:dyDescent="0.25">
      <c r="A30" s="103" t="s">
        <v>348</v>
      </c>
      <c r="B30" s="194" t="s">
        <v>349</v>
      </c>
      <c r="C30" s="22" t="s">
        <v>98</v>
      </c>
      <c r="D30" s="81"/>
      <c r="E30" s="94"/>
      <c r="F30" s="94"/>
      <c r="G30" s="104"/>
      <c r="H30" s="104"/>
      <c r="I30" s="104"/>
      <c r="J30" s="104"/>
      <c r="K30" s="104">
        <v>25</v>
      </c>
      <c r="L30" s="104">
        <v>25</v>
      </c>
      <c r="M30" s="203">
        <v>25</v>
      </c>
      <c r="N30" s="85">
        <f t="shared" si="0"/>
        <v>25</v>
      </c>
    </row>
    <row r="31" spans="1:20" x14ac:dyDescent="0.25">
      <c r="A31" s="149"/>
      <c r="B31" s="150"/>
      <c r="C31" s="79"/>
      <c r="D31" s="151"/>
      <c r="E31" s="151"/>
      <c r="F31" s="151"/>
      <c r="G31" s="151"/>
      <c r="H31" s="152"/>
      <c r="I31" s="152"/>
      <c r="J31" s="152"/>
    </row>
    <row r="32" spans="1:20" x14ac:dyDescent="0.25">
      <c r="A32" s="149"/>
      <c r="B32" s="150"/>
      <c r="C32" s="79"/>
      <c r="D32" s="151"/>
      <c r="E32" s="151"/>
      <c r="F32" s="151"/>
      <c r="G32" s="151"/>
      <c r="H32" s="152"/>
      <c r="I32" s="152"/>
      <c r="J32" s="152"/>
    </row>
    <row r="33" spans="1:10" ht="18.75" x14ac:dyDescent="0.3">
      <c r="A33" s="204" t="s">
        <v>33</v>
      </c>
      <c r="B33" s="204"/>
      <c r="C33" s="204"/>
      <c r="D33" s="205"/>
      <c r="E33" s="205"/>
      <c r="F33" s="205"/>
      <c r="G33" s="206"/>
      <c r="H33" s="207" t="s">
        <v>34</v>
      </c>
      <c r="I33" s="207"/>
      <c r="J33" s="208"/>
    </row>
  </sheetData>
  <mergeCells count="21">
    <mergeCell ref="N3:N5"/>
    <mergeCell ref="E1:L1"/>
    <mergeCell ref="A2:J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A6:N6"/>
    <mergeCell ref="A7:N7"/>
    <mergeCell ref="A13:N13"/>
    <mergeCell ref="A24:N24"/>
    <mergeCell ref="A29:N29"/>
  </mergeCells>
  <pageMargins left="0.31496062992125984" right="0.31496062992125984" top="0.55118110236220474" bottom="0.35433070866141736" header="0.31496062992125984" footer="0.31496062992125984"/>
  <pageSetup paperSize="9" scale="71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71"/>
  <sheetViews>
    <sheetView view="pageBreakPreview" topLeftCell="G1" zoomScale="98" zoomScaleNormal="98" zoomScaleSheetLayoutView="98" workbookViewId="0">
      <selection activeCell="R135" sqref="R135"/>
    </sheetView>
  </sheetViews>
  <sheetFormatPr defaultColWidth="9.28515625" defaultRowHeight="15.75" x14ac:dyDescent="0.25"/>
  <cols>
    <col min="1" max="1" width="6.5703125" style="192" customWidth="1"/>
    <col min="2" max="2" width="60.7109375" style="287" customWidth="1"/>
    <col min="3" max="3" width="21.7109375" style="193" customWidth="1"/>
    <col min="4" max="5" width="9.28515625" style="193"/>
    <col min="6" max="6" width="14.85546875" style="193" customWidth="1"/>
    <col min="7" max="7" width="12.42578125" style="193" customWidth="1"/>
    <col min="8" max="8" width="12.7109375" style="193" customWidth="1"/>
    <col min="9" max="12" width="12.7109375" style="36" customWidth="1"/>
    <col min="13" max="13" width="15.28515625" style="36" customWidth="1"/>
    <col min="14" max="17" width="12.7109375" style="58" customWidth="1"/>
    <col min="18" max="18" width="17.140625" style="36" customWidth="1"/>
    <col min="19" max="19" width="55.5703125" style="36" customWidth="1"/>
    <col min="20" max="20" width="12" style="36" customWidth="1"/>
    <col min="21" max="21" width="15.42578125" style="36" customWidth="1"/>
    <col min="22" max="22" width="21.28515625" style="36" customWidth="1"/>
    <col min="23" max="16384" width="9.28515625" style="36"/>
  </cols>
  <sheetData>
    <row r="1" spans="1:22" s="135" customFormat="1" ht="39" customHeight="1" x14ac:dyDescent="0.25">
      <c r="A1" s="156"/>
      <c r="B1" s="209"/>
      <c r="C1" s="158"/>
      <c r="D1" s="158"/>
      <c r="E1" s="158"/>
      <c r="F1" s="158"/>
      <c r="G1" s="158"/>
      <c r="H1" s="158"/>
      <c r="I1" s="480"/>
      <c r="J1" s="480"/>
      <c r="N1" s="125"/>
      <c r="O1" s="411" t="s">
        <v>350</v>
      </c>
      <c r="P1" s="411"/>
      <c r="Q1" s="411"/>
      <c r="R1" s="411"/>
      <c r="S1" s="411"/>
      <c r="T1" s="159"/>
      <c r="U1" s="159"/>
      <c r="V1" s="159"/>
    </row>
    <row r="2" spans="1:22" s="135" customFormat="1" ht="23.25" customHeight="1" x14ac:dyDescent="0.25">
      <c r="A2" s="482" t="s">
        <v>257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210"/>
    </row>
    <row r="3" spans="1:22" s="135" customFormat="1" ht="24.75" customHeight="1" x14ac:dyDescent="0.25">
      <c r="A3" s="359" t="s">
        <v>90</v>
      </c>
      <c r="B3" s="366" t="s">
        <v>258</v>
      </c>
      <c r="C3" s="359" t="s">
        <v>7</v>
      </c>
      <c r="D3" s="359" t="s">
        <v>5</v>
      </c>
      <c r="E3" s="359"/>
      <c r="F3" s="359"/>
      <c r="G3" s="359"/>
      <c r="H3" s="359" t="s">
        <v>6</v>
      </c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 t="s">
        <v>259</v>
      </c>
    </row>
    <row r="4" spans="1:22" s="135" customFormat="1" ht="42" customHeight="1" x14ac:dyDescent="0.25">
      <c r="A4" s="359"/>
      <c r="B4" s="366"/>
      <c r="C4" s="359"/>
      <c r="D4" s="6" t="s">
        <v>7</v>
      </c>
      <c r="E4" s="6" t="s">
        <v>8</v>
      </c>
      <c r="F4" s="6" t="s">
        <v>9</v>
      </c>
      <c r="G4" s="6" t="s">
        <v>10</v>
      </c>
      <c r="H4" s="6">
        <v>2014</v>
      </c>
      <c r="I4" s="6">
        <v>2015</v>
      </c>
      <c r="J4" s="6">
        <v>2016</v>
      </c>
      <c r="K4" s="6">
        <v>2017</v>
      </c>
      <c r="L4" s="6">
        <v>2018</v>
      </c>
      <c r="M4" s="6">
        <v>2019</v>
      </c>
      <c r="N4" s="61">
        <v>2020</v>
      </c>
      <c r="O4" s="61">
        <v>2021</v>
      </c>
      <c r="P4" s="61">
        <v>2022</v>
      </c>
      <c r="Q4" s="61">
        <v>2023</v>
      </c>
      <c r="R4" s="6" t="s">
        <v>11</v>
      </c>
      <c r="S4" s="359"/>
    </row>
    <row r="5" spans="1:22" ht="26.25" customHeight="1" x14ac:dyDescent="0.25">
      <c r="A5" s="366" t="s">
        <v>351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</row>
    <row r="6" spans="1:22" ht="24" customHeight="1" x14ac:dyDescent="0.25">
      <c r="A6" s="472" t="s">
        <v>326</v>
      </c>
      <c r="B6" s="472"/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</row>
    <row r="7" spans="1:22" s="154" customFormat="1" ht="79.5" customHeight="1" x14ac:dyDescent="0.2">
      <c r="A7" s="23" t="s">
        <v>126</v>
      </c>
      <c r="B7" s="20" t="s">
        <v>352</v>
      </c>
      <c r="C7" s="6" t="s">
        <v>17</v>
      </c>
      <c r="D7" s="211">
        <v>975</v>
      </c>
      <c r="E7" s="211" t="s">
        <v>353</v>
      </c>
      <c r="F7" s="211" t="s">
        <v>354</v>
      </c>
      <c r="G7" s="211" t="s">
        <v>355</v>
      </c>
      <c r="H7" s="212">
        <v>1103.3</v>
      </c>
      <c r="I7" s="212">
        <v>0</v>
      </c>
      <c r="J7" s="212">
        <v>0</v>
      </c>
      <c r="K7" s="212">
        <f>479.9+800+106.1</f>
        <v>1386</v>
      </c>
      <c r="L7" s="212"/>
      <c r="M7" s="212"/>
      <c r="N7" s="213"/>
      <c r="O7" s="213"/>
      <c r="P7" s="213">
        <f>O7</f>
        <v>0</v>
      </c>
      <c r="Q7" s="213">
        <f>P7</f>
        <v>0</v>
      </c>
      <c r="R7" s="212">
        <f>SUM(H7:Q7)</f>
        <v>2489.3000000000002</v>
      </c>
      <c r="S7" s="214" t="s">
        <v>356</v>
      </c>
      <c r="T7" s="215"/>
    </row>
    <row r="8" spans="1:22" ht="35.1" customHeight="1" x14ac:dyDescent="0.25">
      <c r="A8" s="520" t="s">
        <v>129</v>
      </c>
      <c r="B8" s="507" t="s">
        <v>357</v>
      </c>
      <c r="C8" s="354" t="s">
        <v>17</v>
      </c>
      <c r="D8" s="217" t="s">
        <v>18</v>
      </c>
      <c r="E8" s="217" t="s">
        <v>353</v>
      </c>
      <c r="F8" s="217" t="s">
        <v>358</v>
      </c>
      <c r="G8" s="217" t="s">
        <v>266</v>
      </c>
      <c r="H8" s="212">
        <v>2319.5</v>
      </c>
      <c r="I8" s="212">
        <v>6037.2</v>
      </c>
      <c r="J8" s="212">
        <v>3775.2</v>
      </c>
      <c r="K8" s="212">
        <v>6081.4</v>
      </c>
      <c r="L8" s="212">
        <v>2601.9</v>
      </c>
      <c r="M8" s="212">
        <v>2151.5</v>
      </c>
      <c r="N8" s="213"/>
      <c r="O8" s="213"/>
      <c r="P8" s="213">
        <f t="shared" ref="P8:Q32" si="0">O8</f>
        <v>0</v>
      </c>
      <c r="Q8" s="213">
        <f t="shared" si="0"/>
        <v>0</v>
      </c>
      <c r="R8" s="212">
        <f t="shared" ref="R8:R48" si="1">SUM(H8:Q8)</f>
        <v>22966.700000000004</v>
      </c>
      <c r="S8" s="523" t="s">
        <v>359</v>
      </c>
    </row>
    <row r="9" spans="1:22" ht="35.1" customHeight="1" x14ac:dyDescent="0.25">
      <c r="A9" s="520"/>
      <c r="B9" s="508"/>
      <c r="C9" s="355"/>
      <c r="D9" s="217" t="s">
        <v>18</v>
      </c>
      <c r="E9" s="217" t="s">
        <v>353</v>
      </c>
      <c r="F9" s="217" t="s">
        <v>358</v>
      </c>
      <c r="G9" s="217" t="s">
        <v>268</v>
      </c>
      <c r="H9" s="212">
        <v>389.7</v>
      </c>
      <c r="I9" s="212">
        <v>590.1</v>
      </c>
      <c r="J9" s="212">
        <v>889.8</v>
      </c>
      <c r="K9" s="212">
        <f>407.7+80.2+100+235.4</f>
        <v>823.3</v>
      </c>
      <c r="L9" s="212">
        <v>1366.1</v>
      </c>
      <c r="M9" s="212">
        <v>687.2</v>
      </c>
      <c r="N9" s="213"/>
      <c r="O9" s="213"/>
      <c r="P9" s="213">
        <f t="shared" si="0"/>
        <v>0</v>
      </c>
      <c r="Q9" s="213">
        <f t="shared" si="0"/>
        <v>0</v>
      </c>
      <c r="R9" s="212">
        <f t="shared" si="1"/>
        <v>4746.2</v>
      </c>
      <c r="S9" s="524"/>
    </row>
    <row r="10" spans="1:22" ht="35.1" customHeight="1" x14ac:dyDescent="0.25">
      <c r="A10" s="520"/>
      <c r="B10" s="508"/>
      <c r="C10" s="355"/>
      <c r="D10" s="217" t="s">
        <v>18</v>
      </c>
      <c r="E10" s="217" t="s">
        <v>353</v>
      </c>
      <c r="F10" s="217" t="s">
        <v>358</v>
      </c>
      <c r="G10" s="217" t="s">
        <v>297</v>
      </c>
      <c r="H10" s="212"/>
      <c r="I10" s="212"/>
      <c r="J10" s="212"/>
      <c r="K10" s="212"/>
      <c r="L10" s="212">
        <v>612.20000000000005</v>
      </c>
      <c r="M10" s="212"/>
      <c r="N10" s="213"/>
      <c r="O10" s="213"/>
      <c r="P10" s="213">
        <f t="shared" si="0"/>
        <v>0</v>
      </c>
      <c r="Q10" s="213">
        <f t="shared" si="0"/>
        <v>0</v>
      </c>
      <c r="R10" s="212">
        <f t="shared" si="1"/>
        <v>612.20000000000005</v>
      </c>
      <c r="S10" s="524"/>
    </row>
    <row r="11" spans="1:22" ht="35.1" customHeight="1" x14ac:dyDescent="0.25">
      <c r="A11" s="520"/>
      <c r="B11" s="508"/>
      <c r="C11" s="355"/>
      <c r="D11" s="217" t="s">
        <v>18</v>
      </c>
      <c r="E11" s="217" t="s">
        <v>353</v>
      </c>
      <c r="F11" s="217" t="s">
        <v>360</v>
      </c>
      <c r="G11" s="217" t="s">
        <v>266</v>
      </c>
      <c r="H11" s="212">
        <v>0</v>
      </c>
      <c r="I11" s="212">
        <v>0</v>
      </c>
      <c r="J11" s="212">
        <v>531.20000000000005</v>
      </c>
      <c r="K11" s="212">
        <v>959.7</v>
      </c>
      <c r="L11" s="212">
        <v>486.3</v>
      </c>
      <c r="M11" s="212">
        <v>828.9</v>
      </c>
      <c r="N11" s="213">
        <v>598.5</v>
      </c>
      <c r="O11" s="213">
        <v>839</v>
      </c>
      <c r="P11" s="213">
        <v>1024</v>
      </c>
      <c r="Q11" s="213">
        <f t="shared" si="0"/>
        <v>1024</v>
      </c>
      <c r="R11" s="212">
        <f t="shared" si="1"/>
        <v>6291.6</v>
      </c>
      <c r="S11" s="524"/>
    </row>
    <row r="12" spans="1:22" ht="35.1" customHeight="1" x14ac:dyDescent="0.25">
      <c r="A12" s="520"/>
      <c r="B12" s="508"/>
      <c r="C12" s="355"/>
      <c r="D12" s="217" t="s">
        <v>18</v>
      </c>
      <c r="E12" s="217" t="s">
        <v>353</v>
      </c>
      <c r="F12" s="217" t="s">
        <v>360</v>
      </c>
      <c r="G12" s="217" t="s">
        <v>268</v>
      </c>
      <c r="H12" s="212">
        <v>0</v>
      </c>
      <c r="I12" s="212">
        <v>0</v>
      </c>
      <c r="J12" s="212">
        <v>278.7</v>
      </c>
      <c r="K12" s="212">
        <v>0</v>
      </c>
      <c r="L12" s="212">
        <v>423</v>
      </c>
      <c r="M12" s="212">
        <v>94</v>
      </c>
      <c r="N12" s="213">
        <v>511.5</v>
      </c>
      <c r="O12" s="213">
        <v>456</v>
      </c>
      <c r="P12" s="213">
        <v>456</v>
      </c>
      <c r="Q12" s="213">
        <f t="shared" si="0"/>
        <v>456</v>
      </c>
      <c r="R12" s="212">
        <f t="shared" si="1"/>
        <v>2675.2</v>
      </c>
      <c r="S12" s="524"/>
    </row>
    <row r="13" spans="1:22" ht="35.1" customHeight="1" x14ac:dyDescent="0.25">
      <c r="A13" s="520"/>
      <c r="B13" s="508"/>
      <c r="C13" s="355"/>
      <c r="D13" s="217" t="s">
        <v>18</v>
      </c>
      <c r="E13" s="217" t="s">
        <v>353</v>
      </c>
      <c r="F13" s="217" t="s">
        <v>361</v>
      </c>
      <c r="G13" s="217" t="s">
        <v>266</v>
      </c>
      <c r="H13" s="212">
        <v>0</v>
      </c>
      <c r="I13" s="212">
        <v>0</v>
      </c>
      <c r="J13" s="212">
        <v>106.2</v>
      </c>
      <c r="K13" s="212">
        <v>48</v>
      </c>
      <c r="L13" s="212"/>
      <c r="M13" s="212"/>
      <c r="N13" s="213">
        <v>58.5</v>
      </c>
      <c r="O13" s="213"/>
      <c r="P13" s="213">
        <f t="shared" si="0"/>
        <v>0</v>
      </c>
      <c r="Q13" s="213">
        <f t="shared" si="0"/>
        <v>0</v>
      </c>
      <c r="R13" s="212">
        <f t="shared" si="1"/>
        <v>212.7</v>
      </c>
      <c r="S13" s="524"/>
    </row>
    <row r="14" spans="1:22" ht="35.1" customHeight="1" x14ac:dyDescent="0.25">
      <c r="A14" s="520"/>
      <c r="B14" s="508"/>
      <c r="C14" s="355"/>
      <c r="D14" s="217" t="s">
        <v>18</v>
      </c>
      <c r="E14" s="217" t="s">
        <v>353</v>
      </c>
      <c r="F14" s="217" t="s">
        <v>361</v>
      </c>
      <c r="G14" s="217" t="s">
        <v>268</v>
      </c>
      <c r="H14" s="212">
        <v>0</v>
      </c>
      <c r="I14" s="212">
        <v>0</v>
      </c>
      <c r="J14" s="212">
        <v>55.8</v>
      </c>
      <c r="K14" s="212">
        <v>0</v>
      </c>
      <c r="L14" s="212">
        <v>46</v>
      </c>
      <c r="M14" s="212">
        <v>47.3</v>
      </c>
      <c r="N14" s="213">
        <v>0</v>
      </c>
      <c r="O14" s="213">
        <v>83.9</v>
      </c>
      <c r="P14" s="213">
        <v>109.5</v>
      </c>
      <c r="Q14" s="213">
        <f t="shared" si="0"/>
        <v>109.5</v>
      </c>
      <c r="R14" s="212">
        <f t="shared" si="1"/>
        <v>452</v>
      </c>
      <c r="S14" s="524"/>
    </row>
    <row r="15" spans="1:22" ht="35.1" customHeight="1" x14ac:dyDescent="0.25">
      <c r="A15" s="23"/>
      <c r="B15" s="508"/>
      <c r="C15" s="355"/>
      <c r="D15" s="217" t="s">
        <v>18</v>
      </c>
      <c r="E15" s="217" t="s">
        <v>353</v>
      </c>
      <c r="F15" s="217" t="s">
        <v>362</v>
      </c>
      <c r="G15" s="217" t="s">
        <v>266</v>
      </c>
      <c r="H15" s="212"/>
      <c r="I15" s="212"/>
      <c r="J15" s="212"/>
      <c r="K15" s="212"/>
      <c r="L15" s="212"/>
      <c r="M15" s="212">
        <f>2957.5-160</f>
        <v>2797.5</v>
      </c>
      <c r="N15" s="213"/>
      <c r="O15" s="213"/>
      <c r="P15" s="213">
        <f t="shared" si="0"/>
        <v>0</v>
      </c>
      <c r="Q15" s="213">
        <f t="shared" si="0"/>
        <v>0</v>
      </c>
      <c r="R15" s="212">
        <f t="shared" si="1"/>
        <v>2797.5</v>
      </c>
      <c r="S15" s="524"/>
    </row>
    <row r="16" spans="1:22" ht="35.1" customHeight="1" x14ac:dyDescent="0.25">
      <c r="A16" s="23"/>
      <c r="B16" s="508"/>
      <c r="C16" s="355"/>
      <c r="D16" s="217" t="s">
        <v>18</v>
      </c>
      <c r="E16" s="217" t="s">
        <v>353</v>
      </c>
      <c r="F16" s="217" t="s">
        <v>362</v>
      </c>
      <c r="G16" s="217" t="s">
        <v>266</v>
      </c>
      <c r="H16" s="212"/>
      <c r="I16" s="212"/>
      <c r="J16" s="212"/>
      <c r="K16" s="212"/>
      <c r="L16" s="212"/>
      <c r="M16" s="212">
        <v>160</v>
      </c>
      <c r="N16" s="213"/>
      <c r="O16" s="213"/>
      <c r="P16" s="213">
        <f t="shared" si="0"/>
        <v>0</v>
      </c>
      <c r="Q16" s="213">
        <f t="shared" si="0"/>
        <v>0</v>
      </c>
      <c r="R16" s="212">
        <f t="shared" si="1"/>
        <v>160</v>
      </c>
      <c r="S16" s="524"/>
    </row>
    <row r="17" spans="1:19" ht="35.1" customHeight="1" x14ac:dyDescent="0.25">
      <c r="A17" s="23"/>
      <c r="B17" s="508"/>
      <c r="C17" s="355"/>
      <c r="D17" s="217" t="s">
        <v>18</v>
      </c>
      <c r="E17" s="217" t="s">
        <v>353</v>
      </c>
      <c r="F17" s="217" t="s">
        <v>363</v>
      </c>
      <c r="G17" s="217" t="s">
        <v>364</v>
      </c>
      <c r="H17" s="212"/>
      <c r="I17" s="212"/>
      <c r="J17" s="212"/>
      <c r="K17" s="212"/>
      <c r="L17" s="212">
        <v>4549.5</v>
      </c>
      <c r="M17" s="212">
        <v>3564.6</v>
      </c>
      <c r="N17" s="213"/>
      <c r="O17" s="213"/>
      <c r="P17" s="213">
        <f t="shared" si="0"/>
        <v>0</v>
      </c>
      <c r="Q17" s="213">
        <f t="shared" si="0"/>
        <v>0</v>
      </c>
      <c r="R17" s="212">
        <f t="shared" si="1"/>
        <v>8114.1</v>
      </c>
      <c r="S17" s="524"/>
    </row>
    <row r="18" spans="1:19" ht="35.1" customHeight="1" x14ac:dyDescent="0.25">
      <c r="A18" s="23"/>
      <c r="B18" s="508"/>
      <c r="C18" s="355"/>
      <c r="D18" s="217" t="s">
        <v>18</v>
      </c>
      <c r="E18" s="217" t="s">
        <v>353</v>
      </c>
      <c r="F18" s="217" t="s">
        <v>365</v>
      </c>
      <c r="G18" s="217" t="s">
        <v>364</v>
      </c>
      <c r="H18" s="212"/>
      <c r="I18" s="212"/>
      <c r="J18" s="212"/>
      <c r="K18" s="212"/>
      <c r="L18" s="212">
        <v>505.5</v>
      </c>
      <c r="M18" s="212">
        <v>39.799999999999997</v>
      </c>
      <c r="N18" s="213"/>
      <c r="O18" s="213"/>
      <c r="P18" s="213">
        <f t="shared" si="0"/>
        <v>0</v>
      </c>
      <c r="Q18" s="213">
        <f t="shared" si="0"/>
        <v>0</v>
      </c>
      <c r="R18" s="212">
        <f t="shared" si="1"/>
        <v>545.29999999999995</v>
      </c>
      <c r="S18" s="524"/>
    </row>
    <row r="19" spans="1:19" ht="35.1" customHeight="1" x14ac:dyDescent="0.25">
      <c r="A19" s="23"/>
      <c r="B19" s="509"/>
      <c r="C19" s="373"/>
      <c r="D19" s="217"/>
      <c r="E19" s="217" t="s">
        <v>353</v>
      </c>
      <c r="F19" s="217" t="s">
        <v>366</v>
      </c>
      <c r="G19" s="218">
        <v>240</v>
      </c>
      <c r="H19" s="212"/>
      <c r="I19" s="212"/>
      <c r="J19" s="212"/>
      <c r="K19" s="212"/>
      <c r="L19" s="212"/>
      <c r="M19" s="212">
        <v>7000</v>
      </c>
      <c r="N19" s="213"/>
      <c r="O19" s="213"/>
      <c r="P19" s="213">
        <f t="shared" si="0"/>
        <v>0</v>
      </c>
      <c r="Q19" s="213">
        <f t="shared" si="0"/>
        <v>0</v>
      </c>
      <c r="R19" s="212">
        <f t="shared" si="1"/>
        <v>7000</v>
      </c>
      <c r="S19" s="525"/>
    </row>
    <row r="20" spans="1:19" ht="35.1" customHeight="1" x14ac:dyDescent="0.25">
      <c r="A20" s="520" t="s">
        <v>131</v>
      </c>
      <c r="B20" s="507" t="s">
        <v>367</v>
      </c>
      <c r="C20" s="359" t="s">
        <v>17</v>
      </c>
      <c r="D20" s="217" t="s">
        <v>18</v>
      </c>
      <c r="E20" s="217" t="s">
        <v>368</v>
      </c>
      <c r="F20" s="217" t="s">
        <v>369</v>
      </c>
      <c r="G20" s="217" t="s">
        <v>266</v>
      </c>
      <c r="H20" s="212">
        <v>5267.9</v>
      </c>
      <c r="I20" s="212">
        <v>4744.6000000000004</v>
      </c>
      <c r="J20" s="212">
        <v>5833</v>
      </c>
      <c r="K20" s="212">
        <v>6378.5</v>
      </c>
      <c r="L20" s="212">
        <v>8215.2000000000007</v>
      </c>
      <c r="M20" s="212">
        <v>7991.1</v>
      </c>
      <c r="N20" s="213">
        <v>7672.2</v>
      </c>
      <c r="O20" s="213">
        <v>9337.5</v>
      </c>
      <c r="P20" s="213">
        <v>9337.5</v>
      </c>
      <c r="Q20" s="213">
        <f t="shared" si="0"/>
        <v>9337.5</v>
      </c>
      <c r="R20" s="212">
        <f t="shared" si="1"/>
        <v>74115</v>
      </c>
      <c r="S20" s="366" t="s">
        <v>370</v>
      </c>
    </row>
    <row r="21" spans="1:19" ht="35.1" customHeight="1" x14ac:dyDescent="0.25">
      <c r="A21" s="520"/>
      <c r="B21" s="508"/>
      <c r="C21" s="359"/>
      <c r="D21" s="217" t="s">
        <v>18</v>
      </c>
      <c r="E21" s="217" t="s">
        <v>368</v>
      </c>
      <c r="F21" s="217" t="s">
        <v>369</v>
      </c>
      <c r="G21" s="217" t="s">
        <v>268</v>
      </c>
      <c r="H21" s="212">
        <v>1080.8</v>
      </c>
      <c r="I21" s="212">
        <v>1020.8</v>
      </c>
      <c r="J21" s="212">
        <v>1237.7</v>
      </c>
      <c r="K21" s="212">
        <v>1529.5</v>
      </c>
      <c r="L21" s="212">
        <v>1757.5</v>
      </c>
      <c r="M21" s="212">
        <v>1484.6</v>
      </c>
      <c r="N21" s="213">
        <v>1341.2</v>
      </c>
      <c r="O21" s="213">
        <v>1524.6</v>
      </c>
      <c r="P21" s="213">
        <v>1524.6</v>
      </c>
      <c r="Q21" s="213">
        <f t="shared" si="0"/>
        <v>1524.6</v>
      </c>
      <c r="R21" s="212">
        <f t="shared" si="1"/>
        <v>14025.900000000001</v>
      </c>
      <c r="S21" s="366"/>
    </row>
    <row r="22" spans="1:19" s="222" customFormat="1" ht="35.1" customHeight="1" x14ac:dyDescent="0.25">
      <c r="A22" s="520"/>
      <c r="B22" s="522" t="s">
        <v>371</v>
      </c>
      <c r="C22" s="359"/>
      <c r="D22" s="18">
        <v>975</v>
      </c>
      <c r="E22" s="219" t="s">
        <v>368</v>
      </c>
      <c r="F22" s="219" t="s">
        <v>372</v>
      </c>
      <c r="G22" s="220">
        <v>612</v>
      </c>
      <c r="H22" s="221"/>
      <c r="I22" s="221"/>
      <c r="J22" s="221"/>
      <c r="K22" s="221"/>
      <c r="L22" s="221"/>
      <c r="M22" s="221"/>
      <c r="N22" s="221">
        <v>4369.5</v>
      </c>
      <c r="O22" s="221"/>
      <c r="P22" s="221"/>
      <c r="Q22" s="221">
        <f t="shared" si="0"/>
        <v>0</v>
      </c>
      <c r="R22" s="221">
        <f t="shared" si="1"/>
        <v>4369.5</v>
      </c>
      <c r="S22" s="366"/>
    </row>
    <row r="23" spans="1:19" s="222" customFormat="1" ht="35.1" customHeight="1" x14ac:dyDescent="0.25">
      <c r="A23" s="520"/>
      <c r="B23" s="522"/>
      <c r="C23" s="359"/>
      <c r="D23" s="18">
        <v>975</v>
      </c>
      <c r="E23" s="219" t="s">
        <v>368</v>
      </c>
      <c r="F23" s="219" t="s">
        <v>372</v>
      </c>
      <c r="G23" s="220">
        <v>622</v>
      </c>
      <c r="H23" s="221"/>
      <c r="I23" s="221"/>
      <c r="J23" s="221"/>
      <c r="K23" s="221"/>
      <c r="L23" s="221"/>
      <c r="M23" s="221"/>
      <c r="N23" s="221">
        <v>1530.9</v>
      </c>
      <c r="O23" s="221"/>
      <c r="P23" s="221"/>
      <c r="Q23" s="221">
        <f t="shared" si="0"/>
        <v>0</v>
      </c>
      <c r="R23" s="221">
        <f t="shared" si="1"/>
        <v>1530.9</v>
      </c>
      <c r="S23" s="366"/>
    </row>
    <row r="24" spans="1:19" s="222" customFormat="1" ht="47.45" customHeight="1" x14ac:dyDescent="0.25">
      <c r="A24" s="520"/>
      <c r="B24" s="522"/>
      <c r="C24" s="359"/>
      <c r="D24" s="18">
        <v>975</v>
      </c>
      <c r="E24" s="219" t="s">
        <v>368</v>
      </c>
      <c r="F24" s="219" t="s">
        <v>372</v>
      </c>
      <c r="G24" s="220">
        <v>870</v>
      </c>
      <c r="H24" s="221"/>
      <c r="I24" s="221"/>
      <c r="J24" s="221"/>
      <c r="K24" s="221"/>
      <c r="L24" s="221"/>
      <c r="M24" s="221"/>
      <c r="N24" s="221">
        <v>425.1</v>
      </c>
      <c r="O24" s="221"/>
      <c r="P24" s="221"/>
      <c r="Q24" s="221">
        <f t="shared" si="0"/>
        <v>0</v>
      </c>
      <c r="R24" s="221">
        <f t="shared" si="1"/>
        <v>425.1</v>
      </c>
      <c r="S24" s="366"/>
    </row>
    <row r="25" spans="1:19" ht="62.45" customHeight="1" x14ac:dyDescent="0.25">
      <c r="A25" s="520"/>
      <c r="B25" s="223" t="s">
        <v>373</v>
      </c>
      <c r="C25" s="359"/>
      <c r="D25" s="20">
        <v>975</v>
      </c>
      <c r="E25" s="217" t="s">
        <v>368</v>
      </c>
      <c r="F25" s="217" t="s">
        <v>374</v>
      </c>
      <c r="G25" s="218">
        <v>870</v>
      </c>
      <c r="H25" s="212"/>
      <c r="I25" s="212"/>
      <c r="J25" s="212"/>
      <c r="K25" s="212"/>
      <c r="L25" s="212"/>
      <c r="M25" s="212"/>
      <c r="N25" s="213">
        <v>4785</v>
      </c>
      <c r="O25" s="213"/>
      <c r="P25" s="213"/>
      <c r="Q25" s="213"/>
      <c r="R25" s="213">
        <f t="shared" si="1"/>
        <v>4785</v>
      </c>
      <c r="S25" s="366"/>
    </row>
    <row r="26" spans="1:19" ht="35.1" customHeight="1" x14ac:dyDescent="0.25">
      <c r="A26" s="520"/>
      <c r="B26" s="507" t="s">
        <v>367</v>
      </c>
      <c r="C26" s="359"/>
      <c r="D26" s="217" t="s">
        <v>18</v>
      </c>
      <c r="E26" s="217" t="s">
        <v>368</v>
      </c>
      <c r="F26" s="217" t="s">
        <v>375</v>
      </c>
      <c r="G26" s="217" t="s">
        <v>266</v>
      </c>
      <c r="H26" s="212">
        <v>0</v>
      </c>
      <c r="I26" s="212">
        <v>0</v>
      </c>
      <c r="J26" s="212">
        <v>187.8</v>
      </c>
      <c r="K26" s="212">
        <v>0</v>
      </c>
      <c r="L26" s="212">
        <v>0</v>
      </c>
      <c r="M26" s="212">
        <v>0</v>
      </c>
      <c r="N26" s="213">
        <v>0</v>
      </c>
      <c r="O26" s="213">
        <v>0</v>
      </c>
      <c r="P26" s="213">
        <f t="shared" si="0"/>
        <v>0</v>
      </c>
      <c r="Q26" s="213">
        <f t="shared" si="0"/>
        <v>0</v>
      </c>
      <c r="R26" s="212">
        <f t="shared" si="1"/>
        <v>187.8</v>
      </c>
      <c r="S26" s="366"/>
    </row>
    <row r="27" spans="1:19" ht="35.1" customHeight="1" x14ac:dyDescent="0.25">
      <c r="A27" s="520"/>
      <c r="B27" s="508"/>
      <c r="C27" s="359"/>
      <c r="D27" s="217" t="s">
        <v>18</v>
      </c>
      <c r="E27" s="217" t="s">
        <v>368</v>
      </c>
      <c r="F27" s="217" t="s">
        <v>375</v>
      </c>
      <c r="G27" s="217" t="s">
        <v>268</v>
      </c>
      <c r="H27" s="212">
        <v>0</v>
      </c>
      <c r="I27" s="212">
        <v>0</v>
      </c>
      <c r="J27" s="212">
        <v>101.5</v>
      </c>
      <c r="K27" s="212">
        <v>0</v>
      </c>
      <c r="L27" s="212">
        <v>0</v>
      </c>
      <c r="M27" s="212">
        <v>0</v>
      </c>
      <c r="N27" s="213">
        <v>0</v>
      </c>
      <c r="O27" s="213">
        <v>0</v>
      </c>
      <c r="P27" s="213">
        <f t="shared" si="0"/>
        <v>0</v>
      </c>
      <c r="Q27" s="213">
        <f t="shared" si="0"/>
        <v>0</v>
      </c>
      <c r="R27" s="212">
        <f t="shared" si="1"/>
        <v>101.5</v>
      </c>
      <c r="S27" s="366"/>
    </row>
    <row r="28" spans="1:19" s="58" customFormat="1" ht="62.25" customHeight="1" x14ac:dyDescent="0.25">
      <c r="A28" s="224" t="s">
        <v>134</v>
      </c>
      <c r="B28" s="225" t="s">
        <v>376</v>
      </c>
      <c r="C28" s="20" t="s">
        <v>17</v>
      </c>
      <c r="D28" s="217" t="s">
        <v>18</v>
      </c>
      <c r="E28" s="217" t="s">
        <v>353</v>
      </c>
      <c r="F28" s="217" t="s">
        <v>377</v>
      </c>
      <c r="G28" s="217" t="s">
        <v>266</v>
      </c>
      <c r="H28" s="212"/>
      <c r="I28" s="212">
        <v>694</v>
      </c>
      <c r="J28" s="212"/>
      <c r="K28" s="212"/>
      <c r="L28" s="212"/>
      <c r="M28" s="212"/>
      <c r="N28" s="213"/>
      <c r="O28" s="213"/>
      <c r="P28" s="213">
        <f t="shared" si="0"/>
        <v>0</v>
      </c>
      <c r="Q28" s="213">
        <f t="shared" si="0"/>
        <v>0</v>
      </c>
      <c r="R28" s="212">
        <f t="shared" si="1"/>
        <v>694</v>
      </c>
      <c r="S28" s="521"/>
    </row>
    <row r="29" spans="1:19" s="58" customFormat="1" ht="63.75" customHeight="1" x14ac:dyDescent="0.25">
      <c r="A29" s="224" t="s">
        <v>136</v>
      </c>
      <c r="B29" s="225" t="s">
        <v>378</v>
      </c>
      <c r="C29" s="20" t="s">
        <v>17</v>
      </c>
      <c r="D29" s="217" t="s">
        <v>18</v>
      </c>
      <c r="E29" s="217" t="s">
        <v>353</v>
      </c>
      <c r="F29" s="217" t="s">
        <v>379</v>
      </c>
      <c r="G29" s="217" t="s">
        <v>266</v>
      </c>
      <c r="H29" s="212">
        <v>0</v>
      </c>
      <c r="I29" s="212">
        <v>7.3</v>
      </c>
      <c r="J29" s="212"/>
      <c r="K29" s="212"/>
      <c r="L29" s="212"/>
      <c r="M29" s="212"/>
      <c r="N29" s="213"/>
      <c r="O29" s="213"/>
      <c r="P29" s="213">
        <f t="shared" si="0"/>
        <v>0</v>
      </c>
      <c r="Q29" s="213">
        <f t="shared" si="0"/>
        <v>0</v>
      </c>
      <c r="R29" s="212">
        <f t="shared" si="1"/>
        <v>7.3</v>
      </c>
      <c r="S29" s="521"/>
    </row>
    <row r="30" spans="1:19" ht="46.5" customHeight="1" x14ac:dyDescent="0.25">
      <c r="A30" s="224" t="s">
        <v>380</v>
      </c>
      <c r="B30" s="225" t="s">
        <v>381</v>
      </c>
      <c r="C30" s="20" t="s">
        <v>17</v>
      </c>
      <c r="D30" s="217" t="s">
        <v>18</v>
      </c>
      <c r="E30" s="217" t="s">
        <v>353</v>
      </c>
      <c r="F30" s="217" t="s">
        <v>382</v>
      </c>
      <c r="G30" s="217" t="s">
        <v>383</v>
      </c>
      <c r="H30" s="212"/>
      <c r="I30" s="212"/>
      <c r="J30" s="212">
        <v>6.8</v>
      </c>
      <c r="K30" s="212">
        <f>6.8+86.4</f>
        <v>93.2</v>
      </c>
      <c r="L30" s="212">
        <f>46.4+46.8</f>
        <v>93.199999999999989</v>
      </c>
      <c r="M30" s="212">
        <v>7.9</v>
      </c>
      <c r="N30" s="213"/>
      <c r="O30" s="213"/>
      <c r="P30" s="213">
        <f t="shared" si="0"/>
        <v>0</v>
      </c>
      <c r="Q30" s="213">
        <f t="shared" si="0"/>
        <v>0</v>
      </c>
      <c r="R30" s="212">
        <f t="shared" si="1"/>
        <v>201.1</v>
      </c>
      <c r="S30" s="366" t="s">
        <v>384</v>
      </c>
    </row>
    <row r="31" spans="1:19" ht="35.1" customHeight="1" x14ac:dyDescent="0.25">
      <c r="A31" s="520" t="s">
        <v>385</v>
      </c>
      <c r="B31" s="512" t="s">
        <v>386</v>
      </c>
      <c r="C31" s="366" t="s">
        <v>17</v>
      </c>
      <c r="D31" s="217" t="s">
        <v>18</v>
      </c>
      <c r="E31" s="217" t="s">
        <v>353</v>
      </c>
      <c r="F31" s="217" t="s">
        <v>382</v>
      </c>
      <c r="G31" s="217" t="s">
        <v>383</v>
      </c>
      <c r="H31" s="212"/>
      <c r="I31" s="212"/>
      <c r="J31" s="212">
        <v>16.7</v>
      </c>
      <c r="K31" s="212">
        <f>10.1+2</f>
        <v>12.1</v>
      </c>
      <c r="L31" s="212">
        <v>10.5</v>
      </c>
      <c r="M31" s="212">
        <v>1.9</v>
      </c>
      <c r="N31" s="213"/>
      <c r="O31" s="213"/>
      <c r="P31" s="213">
        <f t="shared" si="0"/>
        <v>0</v>
      </c>
      <c r="Q31" s="213">
        <f t="shared" si="0"/>
        <v>0</v>
      </c>
      <c r="R31" s="212">
        <f t="shared" si="1"/>
        <v>41.199999999999996</v>
      </c>
      <c r="S31" s="366"/>
    </row>
    <row r="32" spans="1:19" ht="35.1" customHeight="1" x14ac:dyDescent="0.25">
      <c r="A32" s="520"/>
      <c r="B32" s="512"/>
      <c r="C32" s="366"/>
      <c r="D32" s="217" t="s">
        <v>18</v>
      </c>
      <c r="E32" s="217" t="s">
        <v>353</v>
      </c>
      <c r="F32" s="217" t="s">
        <v>387</v>
      </c>
      <c r="G32" s="217" t="s">
        <v>268</v>
      </c>
      <c r="H32" s="212"/>
      <c r="I32" s="212"/>
      <c r="J32" s="212">
        <v>7.2</v>
      </c>
      <c r="K32" s="212"/>
      <c r="L32" s="212"/>
      <c r="M32" s="212"/>
      <c r="N32" s="213"/>
      <c r="O32" s="213"/>
      <c r="P32" s="213">
        <f t="shared" si="0"/>
        <v>0</v>
      </c>
      <c r="Q32" s="213">
        <f t="shared" si="0"/>
        <v>0</v>
      </c>
      <c r="R32" s="212">
        <f t="shared" si="1"/>
        <v>7.2</v>
      </c>
      <c r="S32" s="366"/>
    </row>
    <row r="33" spans="1:19" ht="35.1" customHeight="1" x14ac:dyDescent="0.25">
      <c r="A33" s="520" t="s">
        <v>388</v>
      </c>
      <c r="B33" s="354" t="s">
        <v>389</v>
      </c>
      <c r="C33" s="366" t="s">
        <v>17</v>
      </c>
      <c r="D33" s="217" t="s">
        <v>18</v>
      </c>
      <c r="E33" s="217" t="s">
        <v>353</v>
      </c>
      <c r="F33" s="217" t="s">
        <v>390</v>
      </c>
      <c r="G33" s="217" t="s">
        <v>266</v>
      </c>
      <c r="H33" s="212"/>
      <c r="I33" s="212"/>
      <c r="J33" s="212"/>
      <c r="K33" s="212"/>
      <c r="L33" s="212"/>
      <c r="M33" s="212"/>
      <c r="N33" s="213">
        <v>0</v>
      </c>
      <c r="O33" s="213">
        <v>1930.9</v>
      </c>
      <c r="P33" s="213">
        <v>1896.5</v>
      </c>
      <c r="Q33" s="213">
        <f t="shared" ref="Q33:Q48" si="2">P33</f>
        <v>1896.5</v>
      </c>
      <c r="R33" s="212">
        <f t="shared" si="1"/>
        <v>5723.9</v>
      </c>
      <c r="S33" s="354"/>
    </row>
    <row r="34" spans="1:19" ht="35.1" customHeight="1" x14ac:dyDescent="0.25">
      <c r="A34" s="520"/>
      <c r="B34" s="373"/>
      <c r="C34" s="366"/>
      <c r="D34" s="217" t="s">
        <v>18</v>
      </c>
      <c r="E34" s="217" t="s">
        <v>353</v>
      </c>
      <c r="F34" s="217" t="s">
        <v>390</v>
      </c>
      <c r="G34" s="217" t="s">
        <v>268</v>
      </c>
      <c r="H34" s="212"/>
      <c r="I34" s="212"/>
      <c r="J34" s="212"/>
      <c r="K34" s="212"/>
      <c r="L34" s="212"/>
      <c r="M34" s="212"/>
      <c r="N34" s="213"/>
      <c r="O34" s="213">
        <v>1930.7</v>
      </c>
      <c r="P34" s="213">
        <v>0</v>
      </c>
      <c r="Q34" s="213">
        <f t="shared" si="2"/>
        <v>0</v>
      </c>
      <c r="R34" s="212">
        <f t="shared" si="1"/>
        <v>1930.7</v>
      </c>
      <c r="S34" s="373"/>
    </row>
    <row r="35" spans="1:19" ht="35.1" customHeight="1" x14ac:dyDescent="0.25">
      <c r="A35" s="520" t="s">
        <v>391</v>
      </c>
      <c r="B35" s="354" t="s">
        <v>392</v>
      </c>
      <c r="C35" s="366" t="s">
        <v>17</v>
      </c>
      <c r="D35" s="217" t="s">
        <v>18</v>
      </c>
      <c r="E35" s="217" t="s">
        <v>353</v>
      </c>
      <c r="F35" s="217" t="s">
        <v>390</v>
      </c>
      <c r="G35" s="217" t="s">
        <v>266</v>
      </c>
      <c r="H35" s="212"/>
      <c r="I35" s="212"/>
      <c r="J35" s="212"/>
      <c r="K35" s="212"/>
      <c r="L35" s="212"/>
      <c r="M35" s="212"/>
      <c r="N35" s="213"/>
      <c r="O35" s="213">
        <v>39.5</v>
      </c>
      <c r="P35" s="213">
        <v>38.799999999999997</v>
      </c>
      <c r="Q35" s="213">
        <f t="shared" si="2"/>
        <v>38.799999999999997</v>
      </c>
      <c r="R35" s="212">
        <f t="shared" si="1"/>
        <v>117.1</v>
      </c>
    </row>
    <row r="36" spans="1:19" ht="35.1" customHeight="1" x14ac:dyDescent="0.25">
      <c r="A36" s="520"/>
      <c r="B36" s="373"/>
      <c r="C36" s="366"/>
      <c r="D36" s="217" t="s">
        <v>18</v>
      </c>
      <c r="E36" s="217" t="s">
        <v>353</v>
      </c>
      <c r="F36" s="217" t="s">
        <v>390</v>
      </c>
      <c r="G36" s="217" t="s">
        <v>268</v>
      </c>
      <c r="H36" s="212"/>
      <c r="I36" s="212"/>
      <c r="J36" s="212"/>
      <c r="K36" s="212"/>
      <c r="L36" s="212"/>
      <c r="M36" s="212"/>
      <c r="N36" s="213"/>
      <c r="O36" s="213">
        <v>39.5</v>
      </c>
      <c r="P36" s="213">
        <v>0</v>
      </c>
      <c r="Q36" s="213">
        <f t="shared" si="2"/>
        <v>0</v>
      </c>
      <c r="R36" s="212">
        <f t="shared" si="1"/>
        <v>39.5</v>
      </c>
    </row>
    <row r="37" spans="1:19" ht="35.1" customHeight="1" x14ac:dyDescent="0.25">
      <c r="A37" s="516" t="s">
        <v>393</v>
      </c>
      <c r="B37" s="517" t="s">
        <v>394</v>
      </c>
      <c r="C37" s="519" t="s">
        <v>17</v>
      </c>
      <c r="D37" s="226" t="s">
        <v>18</v>
      </c>
      <c r="E37" s="226" t="s">
        <v>353</v>
      </c>
      <c r="F37" s="226" t="s">
        <v>395</v>
      </c>
      <c r="G37" s="226" t="s">
        <v>266</v>
      </c>
      <c r="H37" s="227"/>
      <c r="I37" s="227"/>
      <c r="J37" s="227"/>
      <c r="K37" s="227"/>
      <c r="L37" s="227"/>
      <c r="M37" s="227"/>
      <c r="N37" s="227">
        <v>1800</v>
      </c>
      <c r="O37" s="227">
        <v>977.1</v>
      </c>
      <c r="P37" s="227">
        <v>0</v>
      </c>
      <c r="Q37" s="213">
        <f t="shared" si="2"/>
        <v>0</v>
      </c>
      <c r="R37" s="212">
        <f t="shared" si="1"/>
        <v>2777.1</v>
      </c>
      <c r="S37" s="354"/>
    </row>
    <row r="38" spans="1:19" ht="35.1" customHeight="1" x14ac:dyDescent="0.25">
      <c r="A38" s="516"/>
      <c r="B38" s="518"/>
      <c r="C38" s="519"/>
      <c r="D38" s="226" t="s">
        <v>18</v>
      </c>
      <c r="E38" s="226" t="s">
        <v>353</v>
      </c>
      <c r="F38" s="226" t="s">
        <v>395</v>
      </c>
      <c r="G38" s="226" t="s">
        <v>268</v>
      </c>
      <c r="H38" s="227"/>
      <c r="I38" s="227"/>
      <c r="J38" s="227"/>
      <c r="K38" s="227"/>
      <c r="L38" s="227"/>
      <c r="M38" s="227"/>
      <c r="N38" s="227">
        <v>0</v>
      </c>
      <c r="O38" s="227">
        <v>0</v>
      </c>
      <c r="P38" s="227">
        <v>1017.9</v>
      </c>
      <c r="Q38" s="213">
        <f t="shared" si="2"/>
        <v>1017.9</v>
      </c>
      <c r="R38" s="212">
        <f t="shared" si="1"/>
        <v>2035.8</v>
      </c>
      <c r="S38" s="373"/>
    </row>
    <row r="39" spans="1:19" ht="52.9" customHeight="1" x14ac:dyDescent="0.25">
      <c r="A39" s="516" t="s">
        <v>396</v>
      </c>
      <c r="B39" s="517" t="s">
        <v>397</v>
      </c>
      <c r="C39" s="519" t="s">
        <v>17</v>
      </c>
      <c r="D39" s="226" t="s">
        <v>18</v>
      </c>
      <c r="E39" s="226" t="s">
        <v>353</v>
      </c>
      <c r="F39" s="226" t="s">
        <v>398</v>
      </c>
      <c r="G39" s="226" t="s">
        <v>266</v>
      </c>
      <c r="H39" s="227"/>
      <c r="I39" s="227"/>
      <c r="J39" s="227"/>
      <c r="K39" s="227"/>
      <c r="L39" s="227"/>
      <c r="M39" s="227"/>
      <c r="N39" s="227">
        <v>90</v>
      </c>
      <c r="O39" s="227">
        <v>20</v>
      </c>
      <c r="P39" s="227">
        <v>0</v>
      </c>
      <c r="Q39" s="213">
        <f t="shared" si="2"/>
        <v>0</v>
      </c>
      <c r="R39" s="212">
        <f t="shared" si="1"/>
        <v>110</v>
      </c>
    </row>
    <row r="40" spans="1:19" ht="61.9" customHeight="1" x14ac:dyDescent="0.25">
      <c r="A40" s="516"/>
      <c r="B40" s="518"/>
      <c r="C40" s="519"/>
      <c r="D40" s="226" t="s">
        <v>18</v>
      </c>
      <c r="E40" s="226" t="s">
        <v>353</v>
      </c>
      <c r="F40" s="226" t="s">
        <v>395</v>
      </c>
      <c r="G40" s="226" t="s">
        <v>268</v>
      </c>
      <c r="H40" s="227"/>
      <c r="I40" s="227"/>
      <c r="J40" s="227"/>
      <c r="K40" s="227"/>
      <c r="L40" s="227"/>
      <c r="M40" s="227"/>
      <c r="N40" s="227">
        <v>0</v>
      </c>
      <c r="O40" s="227">
        <v>0</v>
      </c>
      <c r="P40" s="227">
        <v>20.8</v>
      </c>
      <c r="Q40" s="213">
        <f t="shared" si="2"/>
        <v>20.8</v>
      </c>
      <c r="R40" s="212">
        <f t="shared" si="1"/>
        <v>41.6</v>
      </c>
    </row>
    <row r="41" spans="1:19" ht="73.900000000000006" customHeight="1" x14ac:dyDescent="0.25">
      <c r="A41" s="516" t="s">
        <v>399</v>
      </c>
      <c r="B41" s="228" t="s">
        <v>394</v>
      </c>
      <c r="C41" s="519" t="s">
        <v>17</v>
      </c>
      <c r="D41" s="226" t="s">
        <v>18</v>
      </c>
      <c r="E41" s="226" t="s">
        <v>353</v>
      </c>
      <c r="F41" s="226" t="s">
        <v>400</v>
      </c>
      <c r="G41" s="226" t="s">
        <v>297</v>
      </c>
      <c r="H41" s="227"/>
      <c r="I41" s="227"/>
      <c r="J41" s="227"/>
      <c r="K41" s="227"/>
      <c r="L41" s="227"/>
      <c r="M41" s="227"/>
      <c r="N41" s="227">
        <f>2866.8-57.4</f>
        <v>2809.4</v>
      </c>
      <c r="O41" s="227">
        <v>0</v>
      </c>
      <c r="P41" s="227">
        <v>0</v>
      </c>
      <c r="Q41" s="213">
        <f t="shared" si="2"/>
        <v>0</v>
      </c>
      <c r="R41" s="212">
        <f t="shared" si="1"/>
        <v>2809.4</v>
      </c>
    </row>
    <row r="42" spans="1:19" ht="78.599999999999994" customHeight="1" x14ac:dyDescent="0.25">
      <c r="A42" s="516"/>
      <c r="B42" s="229" t="s">
        <v>397</v>
      </c>
      <c r="C42" s="519"/>
      <c r="D42" s="226" t="s">
        <v>18</v>
      </c>
      <c r="E42" s="226" t="s">
        <v>353</v>
      </c>
      <c r="F42" s="226" t="s">
        <v>400</v>
      </c>
      <c r="G42" s="226" t="s">
        <v>297</v>
      </c>
      <c r="H42" s="227"/>
      <c r="I42" s="227"/>
      <c r="J42" s="227"/>
      <c r="K42" s="227"/>
      <c r="L42" s="227"/>
      <c r="M42" s="227"/>
      <c r="N42" s="227">
        <v>57.4</v>
      </c>
      <c r="O42" s="227">
        <v>0</v>
      </c>
      <c r="P42" s="227">
        <v>0</v>
      </c>
      <c r="Q42" s="213">
        <f t="shared" si="2"/>
        <v>0</v>
      </c>
      <c r="R42" s="212">
        <f t="shared" si="1"/>
        <v>57.4</v>
      </c>
    </row>
    <row r="43" spans="1:19" ht="78.599999999999994" customHeight="1" x14ac:dyDescent="0.25">
      <c r="A43" s="460" t="s">
        <v>401</v>
      </c>
      <c r="B43" s="230" t="s">
        <v>402</v>
      </c>
      <c r="C43" s="173" t="s">
        <v>17</v>
      </c>
      <c r="D43" s="217" t="s">
        <v>18</v>
      </c>
      <c r="E43" s="217" t="s">
        <v>353</v>
      </c>
      <c r="F43" s="217" t="s">
        <v>403</v>
      </c>
      <c r="G43" s="217" t="s">
        <v>266</v>
      </c>
      <c r="H43" s="212"/>
      <c r="I43" s="212"/>
      <c r="J43" s="212"/>
      <c r="K43" s="212"/>
      <c r="L43" s="212"/>
      <c r="M43" s="212"/>
      <c r="N43" s="231">
        <v>2400</v>
      </c>
      <c r="O43" s="213">
        <v>5500</v>
      </c>
      <c r="P43" s="213">
        <v>0</v>
      </c>
      <c r="Q43" s="213">
        <f t="shared" si="2"/>
        <v>0</v>
      </c>
      <c r="R43" s="212">
        <f t="shared" si="1"/>
        <v>7900</v>
      </c>
    </row>
    <row r="44" spans="1:19" ht="78.599999999999994" customHeight="1" x14ac:dyDescent="0.25">
      <c r="A44" s="462"/>
      <c r="B44" s="230" t="s">
        <v>404</v>
      </c>
      <c r="C44" s="173" t="s">
        <v>17</v>
      </c>
      <c r="D44" s="217" t="s">
        <v>18</v>
      </c>
      <c r="E44" s="217" t="s">
        <v>353</v>
      </c>
      <c r="F44" s="217" t="s">
        <v>405</v>
      </c>
      <c r="G44" s="217" t="s">
        <v>266</v>
      </c>
      <c r="H44" s="212"/>
      <c r="I44" s="212"/>
      <c r="J44" s="212"/>
      <c r="K44" s="212"/>
      <c r="L44" s="212"/>
      <c r="M44" s="212"/>
      <c r="N44" s="231">
        <v>400</v>
      </c>
      <c r="O44" s="213">
        <v>300</v>
      </c>
      <c r="P44" s="213">
        <v>0</v>
      </c>
      <c r="Q44" s="213">
        <f t="shared" si="2"/>
        <v>0</v>
      </c>
      <c r="R44" s="212">
        <f t="shared" si="1"/>
        <v>700</v>
      </c>
    </row>
    <row r="45" spans="1:19" ht="78.599999999999994" customHeight="1" x14ac:dyDescent="0.25">
      <c r="A45" s="232" t="s">
        <v>406</v>
      </c>
      <c r="B45" s="230" t="s">
        <v>407</v>
      </c>
      <c r="C45" s="173" t="s">
        <v>17</v>
      </c>
      <c r="D45" s="217" t="s">
        <v>18</v>
      </c>
      <c r="E45" s="217" t="s">
        <v>353</v>
      </c>
      <c r="F45" s="217" t="s">
        <v>363</v>
      </c>
      <c r="G45" s="217" t="s">
        <v>266</v>
      </c>
      <c r="H45" s="212"/>
      <c r="I45" s="212"/>
      <c r="J45" s="212"/>
      <c r="K45" s="212"/>
      <c r="L45" s="212"/>
      <c r="M45" s="212"/>
      <c r="N45" s="213">
        <v>1214.5</v>
      </c>
      <c r="O45" s="213">
        <v>0</v>
      </c>
      <c r="P45" s="213">
        <v>0</v>
      </c>
      <c r="Q45" s="213">
        <f t="shared" si="2"/>
        <v>0</v>
      </c>
      <c r="R45" s="212">
        <f t="shared" si="1"/>
        <v>1214.5</v>
      </c>
    </row>
    <row r="46" spans="1:19" ht="102.6" customHeight="1" x14ac:dyDescent="0.25">
      <c r="A46" s="232" t="s">
        <v>408</v>
      </c>
      <c r="B46" s="230" t="s">
        <v>409</v>
      </c>
      <c r="C46" s="173" t="s">
        <v>17</v>
      </c>
      <c r="D46" s="217" t="s">
        <v>18</v>
      </c>
      <c r="E46" s="217" t="s">
        <v>353</v>
      </c>
      <c r="F46" s="217" t="s">
        <v>365</v>
      </c>
      <c r="G46" s="217" t="s">
        <v>266</v>
      </c>
      <c r="H46" s="212"/>
      <c r="I46" s="212"/>
      <c r="J46" s="212"/>
      <c r="K46" s="212"/>
      <c r="L46" s="212"/>
      <c r="M46" s="212"/>
      <c r="N46" s="213">
        <v>134.9</v>
      </c>
      <c r="O46" s="213">
        <v>0</v>
      </c>
      <c r="P46" s="213">
        <v>0</v>
      </c>
      <c r="Q46" s="213">
        <f t="shared" si="2"/>
        <v>0</v>
      </c>
      <c r="R46" s="212">
        <f t="shared" si="1"/>
        <v>134.9</v>
      </c>
    </row>
    <row r="47" spans="1:19" ht="102.6" customHeight="1" x14ac:dyDescent="0.25">
      <c r="A47" s="232" t="s">
        <v>410</v>
      </c>
      <c r="B47" s="230" t="s">
        <v>411</v>
      </c>
      <c r="C47" s="173" t="s">
        <v>17</v>
      </c>
      <c r="D47" s="217" t="s">
        <v>18</v>
      </c>
      <c r="E47" s="217" t="s">
        <v>353</v>
      </c>
      <c r="F47" s="217" t="s">
        <v>412</v>
      </c>
      <c r="G47" s="217" t="s">
        <v>266</v>
      </c>
      <c r="H47" s="212"/>
      <c r="I47" s="212"/>
      <c r="J47" s="212"/>
      <c r="K47" s="212"/>
      <c r="L47" s="212"/>
      <c r="M47" s="212"/>
      <c r="N47" s="213">
        <v>2398.5</v>
      </c>
      <c r="O47" s="213"/>
      <c r="P47" s="213"/>
      <c r="Q47" s="213">
        <f t="shared" si="2"/>
        <v>0</v>
      </c>
      <c r="R47" s="212">
        <f t="shared" si="1"/>
        <v>2398.5</v>
      </c>
    </row>
    <row r="48" spans="1:19" ht="35.1" customHeight="1" x14ac:dyDescent="0.25">
      <c r="A48" s="510" t="s">
        <v>319</v>
      </c>
      <c r="B48" s="510"/>
      <c r="C48" s="173"/>
      <c r="D48" s="233"/>
      <c r="E48" s="233"/>
      <c r="F48" s="233"/>
      <c r="G48" s="233"/>
      <c r="H48" s="50">
        <f t="shared" ref="H48:M48" si="3">SUM(H7:H32)</f>
        <v>10161.199999999999</v>
      </c>
      <c r="I48" s="50">
        <f t="shared" si="3"/>
        <v>13094</v>
      </c>
      <c r="J48" s="50">
        <f t="shared" si="3"/>
        <v>13027.6</v>
      </c>
      <c r="K48" s="50">
        <f t="shared" si="3"/>
        <v>17311.7</v>
      </c>
      <c r="L48" s="50">
        <f t="shared" si="3"/>
        <v>20666.900000000001</v>
      </c>
      <c r="M48" s="50">
        <f t="shared" si="3"/>
        <v>26856.300000000003</v>
      </c>
      <c r="N48" s="49">
        <f>SUM(N7:N47)</f>
        <v>32597.100000000006</v>
      </c>
      <c r="O48" s="49">
        <f>SUM(O7:O46)</f>
        <v>22978.7</v>
      </c>
      <c r="P48" s="49">
        <f>SUM(P7:P46)</f>
        <v>15425.599999999999</v>
      </c>
      <c r="Q48" s="213">
        <f t="shared" si="2"/>
        <v>15425.599999999999</v>
      </c>
      <c r="R48" s="212">
        <f t="shared" si="1"/>
        <v>187544.7</v>
      </c>
      <c r="S48" s="234"/>
    </row>
    <row r="49" spans="1:19" ht="33" customHeight="1" x14ac:dyDescent="0.25">
      <c r="A49" s="472" t="s">
        <v>329</v>
      </c>
      <c r="B49" s="472"/>
      <c r="C49" s="472"/>
      <c r="D49" s="472"/>
      <c r="E49" s="472"/>
      <c r="F49" s="472"/>
      <c r="G49" s="472"/>
      <c r="H49" s="472"/>
      <c r="I49" s="472"/>
      <c r="J49" s="472"/>
      <c r="K49" s="472"/>
      <c r="L49" s="472"/>
      <c r="M49" s="472"/>
      <c r="N49" s="472"/>
      <c r="O49" s="472"/>
      <c r="P49" s="472"/>
      <c r="Q49" s="472"/>
      <c r="R49" s="472"/>
      <c r="S49" s="472"/>
    </row>
    <row r="50" spans="1:19" ht="35.1" customHeight="1" x14ac:dyDescent="0.25">
      <c r="A50" s="511" t="s">
        <v>139</v>
      </c>
      <c r="B50" s="512" t="s">
        <v>413</v>
      </c>
      <c r="C50" s="366"/>
      <c r="D50" s="20" t="s">
        <v>18</v>
      </c>
      <c r="E50" s="218" t="s">
        <v>353</v>
      </c>
      <c r="F50" s="217" t="s">
        <v>358</v>
      </c>
      <c r="G50" s="218">
        <v>110</v>
      </c>
      <c r="H50" s="212">
        <v>13238</v>
      </c>
      <c r="I50" s="212">
        <v>13739.9</v>
      </c>
      <c r="J50" s="212">
        <v>12713.2</v>
      </c>
      <c r="K50" s="212">
        <v>12251.6</v>
      </c>
      <c r="L50" s="212">
        <v>11621.6</v>
      </c>
      <c r="M50" s="212">
        <v>6639.3</v>
      </c>
      <c r="N50" s="213">
        <v>0</v>
      </c>
      <c r="O50" s="213">
        <v>0</v>
      </c>
      <c r="P50" s="213">
        <v>0</v>
      </c>
      <c r="Q50" s="213">
        <f>P50</f>
        <v>0</v>
      </c>
      <c r="R50" s="212">
        <f>SUM(H50:Q50)</f>
        <v>70203.600000000006</v>
      </c>
      <c r="S50" s="366" t="s">
        <v>414</v>
      </c>
    </row>
    <row r="51" spans="1:19" ht="35.1" customHeight="1" x14ac:dyDescent="0.25">
      <c r="A51" s="511"/>
      <c r="B51" s="512"/>
      <c r="C51" s="366"/>
      <c r="D51" s="20" t="s">
        <v>18</v>
      </c>
      <c r="E51" s="218" t="s">
        <v>353</v>
      </c>
      <c r="F51" s="217" t="s">
        <v>358</v>
      </c>
      <c r="G51" s="218">
        <v>240</v>
      </c>
      <c r="H51" s="212">
        <f>6496+150</f>
        <v>6646</v>
      </c>
      <c r="I51" s="212">
        <f>7475.8+89.9</f>
        <v>7565.7</v>
      </c>
      <c r="J51" s="212">
        <v>8087.8</v>
      </c>
      <c r="K51" s="212">
        <v>7359.7</v>
      </c>
      <c r="L51" s="212">
        <f>7456-L10</f>
        <v>6843.8</v>
      </c>
      <c r="M51" s="212">
        <v>3610.3</v>
      </c>
      <c r="N51" s="213">
        <v>0</v>
      </c>
      <c r="O51" s="213">
        <v>0</v>
      </c>
      <c r="P51" s="213">
        <v>0</v>
      </c>
      <c r="Q51" s="213">
        <f t="shared" ref="Q51:Q99" si="4">P51</f>
        <v>0</v>
      </c>
      <c r="R51" s="212">
        <f t="shared" ref="R51:R99" si="5">SUM(H51:Q51)</f>
        <v>40113.300000000003</v>
      </c>
      <c r="S51" s="366"/>
    </row>
    <row r="52" spans="1:19" ht="35.1" customHeight="1" x14ac:dyDescent="0.25">
      <c r="A52" s="511"/>
      <c r="B52" s="512"/>
      <c r="C52" s="366"/>
      <c r="D52" s="20" t="s">
        <v>18</v>
      </c>
      <c r="E52" s="218" t="s">
        <v>353</v>
      </c>
      <c r="F52" s="217" t="s">
        <v>358</v>
      </c>
      <c r="G52" s="218">
        <v>611</v>
      </c>
      <c r="H52" s="212">
        <v>36650.199999999997</v>
      </c>
      <c r="I52" s="212">
        <v>39146.800000000003</v>
      </c>
      <c r="J52" s="212">
        <v>21385.4</v>
      </c>
      <c r="K52" s="212">
        <v>20376.5</v>
      </c>
      <c r="L52" s="212">
        <v>21744.3</v>
      </c>
      <c r="M52" s="212">
        <v>21733.1</v>
      </c>
      <c r="N52" s="213">
        <v>19871.5</v>
      </c>
      <c r="O52" s="213">
        <v>19622.900000000001</v>
      </c>
      <c r="P52" s="213">
        <v>19622.900000000001</v>
      </c>
      <c r="Q52" s="213">
        <f t="shared" si="4"/>
        <v>19622.900000000001</v>
      </c>
      <c r="R52" s="212">
        <f t="shared" si="5"/>
        <v>239776.49999999997</v>
      </c>
      <c r="S52" s="366"/>
    </row>
    <row r="53" spans="1:19" ht="35.1" customHeight="1" x14ac:dyDescent="0.25">
      <c r="A53" s="511"/>
      <c r="B53" s="512"/>
      <c r="C53" s="366"/>
      <c r="D53" s="20">
        <v>975</v>
      </c>
      <c r="E53" s="217" t="s">
        <v>353</v>
      </c>
      <c r="F53" s="217" t="s">
        <v>358</v>
      </c>
      <c r="G53" s="218">
        <v>612</v>
      </c>
      <c r="H53" s="212">
        <v>68.5</v>
      </c>
      <c r="I53" s="212"/>
      <c r="J53" s="212">
        <v>0</v>
      </c>
      <c r="K53" s="212"/>
      <c r="L53" s="212"/>
      <c r="M53" s="212"/>
      <c r="N53" s="213"/>
      <c r="O53" s="213"/>
      <c r="P53" s="213">
        <f>O53</f>
        <v>0</v>
      </c>
      <c r="Q53" s="213">
        <f t="shared" si="4"/>
        <v>0</v>
      </c>
      <c r="R53" s="212">
        <f t="shared" si="5"/>
        <v>68.5</v>
      </c>
      <c r="S53" s="366"/>
    </row>
    <row r="54" spans="1:19" ht="35.1" customHeight="1" x14ac:dyDescent="0.25">
      <c r="A54" s="511"/>
      <c r="B54" s="512"/>
      <c r="C54" s="366"/>
      <c r="D54" s="20" t="s">
        <v>18</v>
      </c>
      <c r="E54" s="218" t="s">
        <v>353</v>
      </c>
      <c r="F54" s="217" t="s">
        <v>358</v>
      </c>
      <c r="G54" s="218">
        <v>621</v>
      </c>
      <c r="H54" s="212">
        <v>16861.8</v>
      </c>
      <c r="I54" s="212">
        <v>17529.8</v>
      </c>
      <c r="J54" s="212">
        <v>8899.2000000000007</v>
      </c>
      <c r="K54" s="212">
        <v>8641.4</v>
      </c>
      <c r="L54" s="212">
        <v>9217.1</v>
      </c>
      <c r="M54" s="212">
        <v>9882.6</v>
      </c>
      <c r="N54" s="213">
        <v>9179.2000000000007</v>
      </c>
      <c r="O54" s="213">
        <v>9110.9</v>
      </c>
      <c r="P54" s="213">
        <v>9110.9</v>
      </c>
      <c r="Q54" s="213">
        <f t="shared" si="4"/>
        <v>9110.9</v>
      </c>
      <c r="R54" s="212">
        <f t="shared" si="5"/>
        <v>107543.79999999999</v>
      </c>
      <c r="S54" s="366"/>
    </row>
    <row r="55" spans="1:19" ht="35.1" customHeight="1" x14ac:dyDescent="0.25">
      <c r="A55" s="511"/>
      <c r="B55" s="512"/>
      <c r="C55" s="366"/>
      <c r="D55" s="20">
        <v>975</v>
      </c>
      <c r="E55" s="217" t="s">
        <v>353</v>
      </c>
      <c r="F55" s="217" t="s">
        <v>358</v>
      </c>
      <c r="G55" s="218">
        <v>622</v>
      </c>
      <c r="H55" s="212">
        <v>150</v>
      </c>
      <c r="I55" s="212"/>
      <c r="J55" s="212"/>
      <c r="K55" s="212"/>
      <c r="L55" s="212"/>
      <c r="M55" s="212"/>
      <c r="N55" s="213"/>
      <c r="O55" s="213"/>
      <c r="P55" s="213">
        <f>O55</f>
        <v>0</v>
      </c>
      <c r="Q55" s="213">
        <f t="shared" si="4"/>
        <v>0</v>
      </c>
      <c r="R55" s="212">
        <f t="shared" si="5"/>
        <v>150</v>
      </c>
      <c r="S55" s="366"/>
    </row>
    <row r="56" spans="1:19" ht="35.1" customHeight="1" x14ac:dyDescent="0.25">
      <c r="A56" s="511"/>
      <c r="B56" s="512"/>
      <c r="C56" s="366"/>
      <c r="D56" s="20">
        <v>975</v>
      </c>
      <c r="E56" s="217" t="s">
        <v>353</v>
      </c>
      <c r="F56" s="217" t="s">
        <v>358</v>
      </c>
      <c r="G56" s="218">
        <v>850</v>
      </c>
      <c r="H56" s="212">
        <v>26.5</v>
      </c>
      <c r="I56" s="212">
        <v>121.1</v>
      </c>
      <c r="J56" s="212">
        <v>14.2</v>
      </c>
      <c r="K56" s="212">
        <v>12.5</v>
      </c>
      <c r="L56" s="212">
        <v>136.1</v>
      </c>
      <c r="M56" s="212">
        <v>8.9</v>
      </c>
      <c r="N56" s="213">
        <v>0</v>
      </c>
      <c r="O56" s="213">
        <v>0</v>
      </c>
      <c r="P56" s="213">
        <v>0</v>
      </c>
      <c r="Q56" s="213">
        <f t="shared" si="4"/>
        <v>0</v>
      </c>
      <c r="R56" s="212">
        <f t="shared" si="5"/>
        <v>319.29999999999995</v>
      </c>
      <c r="S56" s="366"/>
    </row>
    <row r="57" spans="1:19" ht="35.1" customHeight="1" x14ac:dyDescent="0.25">
      <c r="A57" s="511"/>
      <c r="B57" s="512"/>
      <c r="C57" s="366"/>
      <c r="D57" s="20" t="s">
        <v>18</v>
      </c>
      <c r="E57" s="218" t="s">
        <v>353</v>
      </c>
      <c r="F57" s="217" t="s">
        <v>415</v>
      </c>
      <c r="G57" s="218">
        <v>110</v>
      </c>
      <c r="H57" s="212">
        <v>671.1</v>
      </c>
      <c r="I57" s="212">
        <v>882.4</v>
      </c>
      <c r="J57" s="212">
        <v>1697.2</v>
      </c>
      <c r="K57" s="212">
        <f>1447.3+437.1</f>
        <v>1884.4</v>
      </c>
      <c r="L57" s="212">
        <v>2298.1</v>
      </c>
      <c r="M57" s="212">
        <v>1906.9</v>
      </c>
      <c r="N57" s="213">
        <v>0</v>
      </c>
      <c r="O57" s="213">
        <v>0</v>
      </c>
      <c r="P57" s="213">
        <v>0</v>
      </c>
      <c r="Q57" s="213">
        <f t="shared" si="4"/>
        <v>0</v>
      </c>
      <c r="R57" s="212">
        <f t="shared" si="5"/>
        <v>9340.1</v>
      </c>
      <c r="S57" s="366"/>
    </row>
    <row r="58" spans="1:19" ht="35.1" customHeight="1" x14ac:dyDescent="0.25">
      <c r="A58" s="511"/>
      <c r="B58" s="512"/>
      <c r="C58" s="366"/>
      <c r="D58" s="20" t="s">
        <v>18</v>
      </c>
      <c r="E58" s="218" t="s">
        <v>353</v>
      </c>
      <c r="F58" s="217" t="s">
        <v>415</v>
      </c>
      <c r="G58" s="218">
        <v>611</v>
      </c>
      <c r="H58" s="212">
        <v>1841.5</v>
      </c>
      <c r="I58" s="212">
        <v>2844</v>
      </c>
      <c r="J58" s="212">
        <v>7162.7</v>
      </c>
      <c r="K58" s="212">
        <v>5652.6</v>
      </c>
      <c r="L58" s="212">
        <v>9203</v>
      </c>
      <c r="M58" s="212">
        <v>14852.2</v>
      </c>
      <c r="N58" s="213">
        <v>12390.6</v>
      </c>
      <c r="O58" s="213">
        <v>12390.6</v>
      </c>
      <c r="P58" s="213">
        <v>12390.6</v>
      </c>
      <c r="Q58" s="213">
        <f t="shared" si="4"/>
        <v>12390.6</v>
      </c>
      <c r="R58" s="212">
        <f t="shared" si="5"/>
        <v>91118.400000000009</v>
      </c>
      <c r="S58" s="366"/>
    </row>
    <row r="59" spans="1:19" ht="35.1" customHeight="1" x14ac:dyDescent="0.25">
      <c r="A59" s="511"/>
      <c r="B59" s="512"/>
      <c r="C59" s="366"/>
      <c r="D59" s="20">
        <v>975</v>
      </c>
      <c r="E59" s="217" t="s">
        <v>353</v>
      </c>
      <c r="F59" s="217" t="s">
        <v>415</v>
      </c>
      <c r="G59" s="218">
        <v>621</v>
      </c>
      <c r="H59" s="212"/>
      <c r="I59" s="212">
        <v>34.200000000000003</v>
      </c>
      <c r="J59" s="212">
        <v>65.400000000000006</v>
      </c>
      <c r="K59" s="212">
        <v>91.9</v>
      </c>
      <c r="L59" s="212">
        <v>172.8</v>
      </c>
      <c r="M59" s="212">
        <v>155.4</v>
      </c>
      <c r="N59" s="213">
        <v>179.7</v>
      </c>
      <c r="O59" s="213">
        <v>179.7</v>
      </c>
      <c r="P59" s="213">
        <v>179.7</v>
      </c>
      <c r="Q59" s="213">
        <f t="shared" si="4"/>
        <v>179.7</v>
      </c>
      <c r="R59" s="212">
        <f t="shared" si="5"/>
        <v>1238.5000000000002</v>
      </c>
      <c r="S59" s="366"/>
    </row>
    <row r="60" spans="1:19" ht="35.1" customHeight="1" x14ac:dyDescent="0.25">
      <c r="A60" s="511"/>
      <c r="B60" s="512"/>
      <c r="C60" s="366"/>
      <c r="D60" s="20" t="s">
        <v>18</v>
      </c>
      <c r="E60" s="218" t="s">
        <v>353</v>
      </c>
      <c r="F60" s="217" t="s">
        <v>416</v>
      </c>
      <c r="G60" s="218">
        <v>611</v>
      </c>
      <c r="H60" s="212">
        <v>946.6</v>
      </c>
      <c r="I60" s="212">
        <v>1533.9</v>
      </c>
      <c r="J60" s="212"/>
      <c r="K60" s="212"/>
      <c r="L60" s="212"/>
      <c r="M60" s="212"/>
      <c r="N60" s="213"/>
      <c r="O60" s="213"/>
      <c r="P60" s="213">
        <f t="shared" ref="P60:P66" si="6">O60</f>
        <v>0</v>
      </c>
      <c r="Q60" s="213">
        <f t="shared" si="4"/>
        <v>0</v>
      </c>
      <c r="R60" s="212">
        <f t="shared" si="5"/>
        <v>2480.5</v>
      </c>
      <c r="S60" s="366"/>
    </row>
    <row r="61" spans="1:19" ht="35.1" customHeight="1" x14ac:dyDescent="0.25">
      <c r="A61" s="511"/>
      <c r="B61" s="512"/>
      <c r="C61" s="366"/>
      <c r="D61" s="20" t="s">
        <v>18</v>
      </c>
      <c r="E61" s="218" t="s">
        <v>353</v>
      </c>
      <c r="F61" s="217" t="s">
        <v>417</v>
      </c>
      <c r="G61" s="218">
        <v>110</v>
      </c>
      <c r="H61" s="212">
        <v>17</v>
      </c>
      <c r="I61" s="212"/>
      <c r="J61" s="212"/>
      <c r="K61" s="212"/>
      <c r="L61" s="212"/>
      <c r="M61" s="212"/>
      <c r="N61" s="213"/>
      <c r="O61" s="213"/>
      <c r="P61" s="213">
        <f t="shared" si="6"/>
        <v>0</v>
      </c>
      <c r="Q61" s="213">
        <f t="shared" si="4"/>
        <v>0</v>
      </c>
      <c r="R61" s="212">
        <f t="shared" si="5"/>
        <v>17</v>
      </c>
      <c r="S61" s="366"/>
    </row>
    <row r="62" spans="1:19" ht="35.1" customHeight="1" x14ac:dyDescent="0.25">
      <c r="A62" s="511"/>
      <c r="B62" s="512"/>
      <c r="C62" s="366"/>
      <c r="D62" s="20" t="s">
        <v>18</v>
      </c>
      <c r="E62" s="218" t="s">
        <v>353</v>
      </c>
      <c r="F62" s="217" t="s">
        <v>417</v>
      </c>
      <c r="G62" s="218">
        <v>611</v>
      </c>
      <c r="H62" s="212">
        <v>20.7</v>
      </c>
      <c r="I62" s="212"/>
      <c r="J62" s="212"/>
      <c r="K62" s="212"/>
      <c r="L62" s="212"/>
      <c r="M62" s="212"/>
      <c r="N62" s="213"/>
      <c r="O62" s="213"/>
      <c r="P62" s="213">
        <f t="shared" si="6"/>
        <v>0</v>
      </c>
      <c r="Q62" s="213">
        <f t="shared" si="4"/>
        <v>0</v>
      </c>
      <c r="R62" s="212">
        <f t="shared" si="5"/>
        <v>20.7</v>
      </c>
      <c r="S62" s="366"/>
    </row>
    <row r="63" spans="1:19" ht="35.1" hidden="1" customHeight="1" x14ac:dyDescent="0.25">
      <c r="A63" s="511"/>
      <c r="B63" s="512"/>
      <c r="C63" s="366"/>
      <c r="D63" s="20" t="s">
        <v>18</v>
      </c>
      <c r="E63" s="218" t="s">
        <v>353</v>
      </c>
      <c r="F63" s="217" t="s">
        <v>417</v>
      </c>
      <c r="G63" s="218">
        <v>621</v>
      </c>
      <c r="H63" s="212">
        <v>0</v>
      </c>
      <c r="I63" s="212"/>
      <c r="J63" s="212"/>
      <c r="K63" s="212"/>
      <c r="L63" s="212"/>
      <c r="M63" s="212"/>
      <c r="N63" s="213"/>
      <c r="O63" s="213"/>
      <c r="P63" s="213">
        <f t="shared" si="6"/>
        <v>0</v>
      </c>
      <c r="Q63" s="213">
        <f t="shared" si="4"/>
        <v>0</v>
      </c>
      <c r="R63" s="212">
        <f t="shared" si="5"/>
        <v>0</v>
      </c>
      <c r="S63" s="366"/>
    </row>
    <row r="64" spans="1:19" ht="35.1" hidden="1" customHeight="1" x14ac:dyDescent="0.25">
      <c r="A64" s="511"/>
      <c r="B64" s="512"/>
      <c r="C64" s="366"/>
      <c r="D64" s="20">
        <v>975</v>
      </c>
      <c r="E64" s="217" t="s">
        <v>353</v>
      </c>
      <c r="F64" s="217" t="s">
        <v>418</v>
      </c>
      <c r="G64" s="218">
        <v>611</v>
      </c>
      <c r="H64" s="212"/>
      <c r="I64" s="212"/>
      <c r="J64" s="212">
        <v>0</v>
      </c>
      <c r="K64" s="212"/>
      <c r="L64" s="212"/>
      <c r="M64" s="212"/>
      <c r="N64" s="213"/>
      <c r="O64" s="213"/>
      <c r="P64" s="213">
        <f t="shared" si="6"/>
        <v>0</v>
      </c>
      <c r="Q64" s="213">
        <f t="shared" si="4"/>
        <v>0</v>
      </c>
      <c r="R64" s="212">
        <f t="shared" si="5"/>
        <v>0</v>
      </c>
      <c r="S64" s="366"/>
    </row>
    <row r="65" spans="1:19" ht="35.1" customHeight="1" x14ac:dyDescent="0.25">
      <c r="A65" s="511"/>
      <c r="B65" s="512"/>
      <c r="C65" s="366"/>
      <c r="D65" s="20">
        <v>975</v>
      </c>
      <c r="E65" s="217" t="s">
        <v>353</v>
      </c>
      <c r="F65" s="217" t="s">
        <v>419</v>
      </c>
      <c r="G65" s="218">
        <v>611</v>
      </c>
      <c r="H65" s="212"/>
      <c r="I65" s="212"/>
      <c r="J65" s="212">
        <v>69.8</v>
      </c>
      <c r="K65" s="212"/>
      <c r="L65" s="212"/>
      <c r="M65" s="212"/>
      <c r="N65" s="213"/>
      <c r="O65" s="213"/>
      <c r="P65" s="213">
        <f t="shared" si="6"/>
        <v>0</v>
      </c>
      <c r="Q65" s="213">
        <f t="shared" si="4"/>
        <v>0</v>
      </c>
      <c r="R65" s="212">
        <f t="shared" si="5"/>
        <v>69.8</v>
      </c>
      <c r="S65" s="366"/>
    </row>
    <row r="66" spans="1:19" ht="35.1" customHeight="1" x14ac:dyDescent="0.25">
      <c r="A66" s="511"/>
      <c r="B66" s="512"/>
      <c r="C66" s="366"/>
      <c r="D66" s="20">
        <v>975</v>
      </c>
      <c r="E66" s="217" t="s">
        <v>353</v>
      </c>
      <c r="F66" s="217" t="s">
        <v>420</v>
      </c>
      <c r="G66" s="218">
        <v>611</v>
      </c>
      <c r="H66" s="212">
        <v>50.1</v>
      </c>
      <c r="I66" s="212">
        <v>30</v>
      </c>
      <c r="J66" s="212"/>
      <c r="K66" s="212"/>
      <c r="L66" s="212"/>
      <c r="M66" s="212"/>
      <c r="N66" s="213"/>
      <c r="O66" s="213"/>
      <c r="P66" s="213">
        <f t="shared" si="6"/>
        <v>0</v>
      </c>
      <c r="Q66" s="213">
        <f t="shared" si="4"/>
        <v>0</v>
      </c>
      <c r="R66" s="212">
        <f t="shared" si="5"/>
        <v>80.099999999999994</v>
      </c>
      <c r="S66" s="366"/>
    </row>
    <row r="67" spans="1:19" ht="35.1" customHeight="1" x14ac:dyDescent="0.25">
      <c r="A67" s="163"/>
      <c r="B67" s="513" t="s">
        <v>421</v>
      </c>
      <c r="C67" s="235"/>
      <c r="D67" s="235">
        <v>975</v>
      </c>
      <c r="E67" s="236" t="s">
        <v>422</v>
      </c>
      <c r="F67" s="236" t="s">
        <v>423</v>
      </c>
      <c r="G67" s="237">
        <v>611</v>
      </c>
      <c r="H67" s="231"/>
      <c r="I67" s="231"/>
      <c r="J67" s="231"/>
      <c r="K67" s="231"/>
      <c r="L67" s="231"/>
      <c r="M67" s="231"/>
      <c r="N67" s="231">
        <v>4166.3999999999996</v>
      </c>
      <c r="O67" s="231">
        <v>12499.2</v>
      </c>
      <c r="P67" s="231">
        <v>12499.2</v>
      </c>
      <c r="Q67" s="213">
        <f t="shared" si="4"/>
        <v>12499.2</v>
      </c>
      <c r="R67" s="212">
        <f t="shared" si="5"/>
        <v>41664</v>
      </c>
      <c r="S67" s="366"/>
    </row>
    <row r="68" spans="1:19" ht="35.1" customHeight="1" x14ac:dyDescent="0.25">
      <c r="A68" s="163"/>
      <c r="B68" s="514"/>
      <c r="C68" s="235"/>
      <c r="D68" s="235">
        <v>975</v>
      </c>
      <c r="E68" s="236" t="s">
        <v>422</v>
      </c>
      <c r="F68" s="236" t="s">
        <v>423</v>
      </c>
      <c r="G68" s="237">
        <v>621</v>
      </c>
      <c r="H68" s="231"/>
      <c r="I68" s="231"/>
      <c r="J68" s="231"/>
      <c r="K68" s="231"/>
      <c r="L68" s="231"/>
      <c r="M68" s="231"/>
      <c r="N68" s="231">
        <v>1291.5999999999999</v>
      </c>
      <c r="O68" s="231">
        <v>3874.8</v>
      </c>
      <c r="P68" s="231">
        <v>3874.8</v>
      </c>
      <c r="Q68" s="213">
        <f t="shared" si="4"/>
        <v>3874.8</v>
      </c>
      <c r="R68" s="212">
        <f t="shared" si="5"/>
        <v>12916</v>
      </c>
      <c r="S68" s="366"/>
    </row>
    <row r="69" spans="1:19" ht="35.1" customHeight="1" x14ac:dyDescent="0.25">
      <c r="A69" s="163"/>
      <c r="B69" s="515"/>
      <c r="C69" s="235"/>
      <c r="D69" s="235">
        <v>975</v>
      </c>
      <c r="E69" s="236" t="s">
        <v>422</v>
      </c>
      <c r="F69" s="236" t="s">
        <v>423</v>
      </c>
      <c r="G69" s="237">
        <v>870</v>
      </c>
      <c r="H69" s="231"/>
      <c r="I69" s="231"/>
      <c r="J69" s="231"/>
      <c r="K69" s="231"/>
      <c r="L69" s="231"/>
      <c r="M69" s="231"/>
      <c r="N69" s="231">
        <v>624.9</v>
      </c>
      <c r="O69" s="231">
        <v>1874.7</v>
      </c>
      <c r="P69" s="231">
        <v>1874.7</v>
      </c>
      <c r="Q69" s="213">
        <f t="shared" si="4"/>
        <v>1874.7</v>
      </c>
      <c r="R69" s="212">
        <f t="shared" si="5"/>
        <v>6249</v>
      </c>
      <c r="S69" s="366"/>
    </row>
    <row r="70" spans="1:19" ht="35.1" customHeight="1" x14ac:dyDescent="0.25">
      <c r="A70" s="511" t="s">
        <v>141</v>
      </c>
      <c r="B70" s="512" t="s">
        <v>424</v>
      </c>
      <c r="C70" s="366"/>
      <c r="D70" s="20">
        <v>975</v>
      </c>
      <c r="E70" s="217" t="s">
        <v>353</v>
      </c>
      <c r="F70" s="217" t="s">
        <v>425</v>
      </c>
      <c r="G70" s="238" t="s">
        <v>426</v>
      </c>
      <c r="H70" s="212">
        <v>2069.1</v>
      </c>
      <c r="I70" s="212">
        <v>2048.5</v>
      </c>
      <c r="J70" s="212">
        <v>2159.8000000000002</v>
      </c>
      <c r="K70" s="212">
        <f>1921.59+580.31</f>
        <v>2501.8999999999996</v>
      </c>
      <c r="L70" s="212">
        <v>2453.9</v>
      </c>
      <c r="M70" s="212">
        <f>1245.3+32</f>
        <v>1277.3</v>
      </c>
      <c r="N70" s="213">
        <v>0</v>
      </c>
      <c r="O70" s="213">
        <v>0</v>
      </c>
      <c r="P70" s="213">
        <v>0</v>
      </c>
      <c r="Q70" s="213">
        <f t="shared" si="4"/>
        <v>0</v>
      </c>
      <c r="R70" s="212">
        <f t="shared" si="5"/>
        <v>12510.499999999998</v>
      </c>
      <c r="S70" s="366"/>
    </row>
    <row r="71" spans="1:19" ht="35.1" customHeight="1" x14ac:dyDescent="0.25">
      <c r="A71" s="511"/>
      <c r="B71" s="512"/>
      <c r="C71" s="366"/>
      <c r="D71" s="20">
        <v>975</v>
      </c>
      <c r="E71" s="217" t="s">
        <v>353</v>
      </c>
      <c r="F71" s="217" t="s">
        <v>425</v>
      </c>
      <c r="G71" s="218">
        <v>244</v>
      </c>
      <c r="H71" s="212">
        <v>48</v>
      </c>
      <c r="I71" s="212">
        <v>49.5</v>
      </c>
      <c r="J71" s="212">
        <v>152</v>
      </c>
      <c r="K71" s="212">
        <v>194.7</v>
      </c>
      <c r="L71" s="212">
        <v>150.69999999999999</v>
      </c>
      <c r="M71" s="212">
        <v>117.6</v>
      </c>
      <c r="N71" s="213">
        <v>0</v>
      </c>
      <c r="O71" s="213">
        <v>0</v>
      </c>
      <c r="P71" s="213">
        <v>0</v>
      </c>
      <c r="Q71" s="213">
        <f t="shared" si="4"/>
        <v>0</v>
      </c>
      <c r="R71" s="212">
        <f t="shared" si="5"/>
        <v>712.5</v>
      </c>
      <c r="S71" s="366"/>
    </row>
    <row r="72" spans="1:19" ht="35.1" customHeight="1" x14ac:dyDescent="0.25">
      <c r="A72" s="511"/>
      <c r="B72" s="512"/>
      <c r="C72" s="366"/>
      <c r="D72" s="20">
        <v>975</v>
      </c>
      <c r="E72" s="217" t="s">
        <v>353</v>
      </c>
      <c r="F72" s="217" t="s">
        <v>425</v>
      </c>
      <c r="G72" s="218">
        <v>611</v>
      </c>
      <c r="H72" s="212">
        <v>69419.8</v>
      </c>
      <c r="I72" s="212">
        <v>74727.600000000006</v>
      </c>
      <c r="J72" s="212">
        <v>75371.399999999994</v>
      </c>
      <c r="K72" s="212">
        <v>82441.7</v>
      </c>
      <c r="L72" s="212">
        <v>87113.3</v>
      </c>
      <c r="M72" s="212">
        <v>84914.7</v>
      </c>
      <c r="N72" s="213">
        <v>91378.5</v>
      </c>
      <c r="O72" s="213">
        <v>90472.6</v>
      </c>
      <c r="P72" s="213">
        <v>90472.6</v>
      </c>
      <c r="Q72" s="213">
        <f t="shared" si="4"/>
        <v>90472.6</v>
      </c>
      <c r="R72" s="212">
        <f t="shared" si="5"/>
        <v>836784.79999999993</v>
      </c>
      <c r="S72" s="366"/>
    </row>
    <row r="73" spans="1:19" ht="35.1" customHeight="1" x14ac:dyDescent="0.25">
      <c r="A73" s="511"/>
      <c r="B73" s="512"/>
      <c r="C73" s="366"/>
      <c r="D73" s="20">
        <v>975</v>
      </c>
      <c r="E73" s="217" t="s">
        <v>422</v>
      </c>
      <c r="F73" s="217" t="s">
        <v>425</v>
      </c>
      <c r="G73" s="218">
        <v>611</v>
      </c>
      <c r="H73" s="212"/>
      <c r="I73" s="212"/>
      <c r="J73" s="212"/>
      <c r="K73" s="212"/>
      <c r="L73" s="212"/>
      <c r="M73" s="212">
        <v>10565.4</v>
      </c>
      <c r="N73" s="213">
        <v>11184.2</v>
      </c>
      <c r="O73" s="213">
        <v>10775.8</v>
      </c>
      <c r="P73" s="213">
        <v>10775.8</v>
      </c>
      <c r="Q73" s="213">
        <f t="shared" si="4"/>
        <v>10775.8</v>
      </c>
      <c r="R73" s="212">
        <f t="shared" si="5"/>
        <v>54077</v>
      </c>
      <c r="S73" s="366"/>
    </row>
    <row r="74" spans="1:19" ht="35.1" customHeight="1" x14ac:dyDescent="0.25">
      <c r="A74" s="511"/>
      <c r="B74" s="512"/>
      <c r="C74" s="366"/>
      <c r="D74" s="20">
        <v>975</v>
      </c>
      <c r="E74" s="217" t="s">
        <v>353</v>
      </c>
      <c r="F74" s="217" t="s">
        <v>425</v>
      </c>
      <c r="G74" s="218">
        <v>612</v>
      </c>
      <c r="H74" s="212">
        <v>1060.3</v>
      </c>
      <c r="I74" s="212">
        <v>685.7</v>
      </c>
      <c r="J74" s="212">
        <v>3330.5</v>
      </c>
      <c r="K74" s="212">
        <v>4576</v>
      </c>
      <c r="L74" s="212">
        <v>4798.1000000000004</v>
      </c>
      <c r="M74" s="212">
        <v>4598.3999999999996</v>
      </c>
      <c r="N74" s="213">
        <v>0</v>
      </c>
      <c r="O74" s="213">
        <v>0</v>
      </c>
      <c r="P74" s="213">
        <v>0</v>
      </c>
      <c r="Q74" s="213">
        <f t="shared" si="4"/>
        <v>0</v>
      </c>
      <c r="R74" s="212">
        <f t="shared" si="5"/>
        <v>19049</v>
      </c>
      <c r="S74" s="366"/>
    </row>
    <row r="75" spans="1:19" ht="35.1" customHeight="1" x14ac:dyDescent="0.25">
      <c r="A75" s="511"/>
      <c r="B75" s="512"/>
      <c r="C75" s="366"/>
      <c r="D75" s="20">
        <v>975</v>
      </c>
      <c r="E75" s="217" t="s">
        <v>353</v>
      </c>
      <c r="F75" s="217" t="s">
        <v>425</v>
      </c>
      <c r="G75" s="218">
        <v>621</v>
      </c>
      <c r="H75" s="212">
        <v>28912.7</v>
      </c>
      <c r="I75" s="212">
        <v>29234.2</v>
      </c>
      <c r="J75" s="212">
        <v>29412</v>
      </c>
      <c r="K75" s="212">
        <v>31346.1</v>
      </c>
      <c r="L75" s="212">
        <v>32415.7</v>
      </c>
      <c r="M75" s="212">
        <v>31196.1</v>
      </c>
      <c r="N75" s="213">
        <v>30417.3</v>
      </c>
      <c r="O75" s="213">
        <v>30131.7</v>
      </c>
      <c r="P75" s="213">
        <v>30131.7</v>
      </c>
      <c r="Q75" s="213">
        <f t="shared" si="4"/>
        <v>30131.7</v>
      </c>
      <c r="R75" s="212">
        <f t="shared" si="5"/>
        <v>303329.2</v>
      </c>
      <c r="S75" s="366"/>
    </row>
    <row r="76" spans="1:19" ht="35.1" customHeight="1" x14ac:dyDescent="0.25">
      <c r="A76" s="511"/>
      <c r="B76" s="512"/>
      <c r="C76" s="366"/>
      <c r="D76" s="20">
        <v>975</v>
      </c>
      <c r="E76" s="217" t="s">
        <v>422</v>
      </c>
      <c r="F76" s="217" t="s">
        <v>425</v>
      </c>
      <c r="G76" s="218">
        <v>621</v>
      </c>
      <c r="H76" s="212"/>
      <c r="I76" s="212"/>
      <c r="J76" s="212"/>
      <c r="K76" s="212"/>
      <c r="L76" s="212"/>
      <c r="M76" s="212">
        <v>4913.8</v>
      </c>
      <c r="N76" s="213">
        <v>4838.5</v>
      </c>
      <c r="O76" s="213">
        <v>4703.3999999999996</v>
      </c>
      <c r="P76" s="213">
        <v>4703.3999999999996</v>
      </c>
      <c r="Q76" s="213">
        <f t="shared" si="4"/>
        <v>4703.3999999999996</v>
      </c>
      <c r="R76" s="212">
        <f t="shared" si="5"/>
        <v>23862.5</v>
      </c>
      <c r="S76" s="366"/>
    </row>
    <row r="77" spans="1:19" ht="35.1" customHeight="1" x14ac:dyDescent="0.25">
      <c r="A77" s="511"/>
      <c r="B77" s="512"/>
      <c r="C77" s="366"/>
      <c r="D77" s="20">
        <v>975</v>
      </c>
      <c r="E77" s="217" t="s">
        <v>353</v>
      </c>
      <c r="F77" s="217" t="s">
        <v>425</v>
      </c>
      <c r="G77" s="218">
        <v>622</v>
      </c>
      <c r="H77" s="212">
        <v>348.3</v>
      </c>
      <c r="I77" s="212">
        <v>360.9</v>
      </c>
      <c r="J77" s="212">
        <v>1248.9000000000001</v>
      </c>
      <c r="K77" s="212">
        <v>1661.6</v>
      </c>
      <c r="L77" s="212">
        <v>1917.9</v>
      </c>
      <c r="M77" s="212">
        <v>1604.6</v>
      </c>
      <c r="N77" s="213">
        <v>0</v>
      </c>
      <c r="O77" s="213">
        <v>0</v>
      </c>
      <c r="P77" s="213">
        <v>0</v>
      </c>
      <c r="Q77" s="213">
        <f t="shared" si="4"/>
        <v>0</v>
      </c>
      <c r="R77" s="212">
        <f t="shared" si="5"/>
        <v>7142.2000000000007</v>
      </c>
      <c r="S77" s="366"/>
    </row>
    <row r="78" spans="1:19" ht="35.1" customHeight="1" x14ac:dyDescent="0.25">
      <c r="A78" s="511"/>
      <c r="B78" s="512"/>
      <c r="C78" s="366"/>
      <c r="D78" s="20">
        <v>975</v>
      </c>
      <c r="E78" s="217" t="s">
        <v>353</v>
      </c>
      <c r="F78" s="217" t="s">
        <v>425</v>
      </c>
      <c r="G78" s="218">
        <v>870</v>
      </c>
      <c r="H78" s="212"/>
      <c r="I78" s="212"/>
      <c r="J78" s="212"/>
      <c r="K78" s="212">
        <v>1355.7</v>
      </c>
      <c r="L78" s="212"/>
      <c r="M78" s="212"/>
      <c r="N78" s="213"/>
      <c r="O78" s="213"/>
      <c r="P78" s="213">
        <f>O78</f>
        <v>0</v>
      </c>
      <c r="Q78" s="213">
        <f t="shared" si="4"/>
        <v>0</v>
      </c>
      <c r="R78" s="212">
        <f t="shared" si="5"/>
        <v>1355.7</v>
      </c>
      <c r="S78" s="366"/>
    </row>
    <row r="79" spans="1:19" ht="35.1" customHeight="1" x14ac:dyDescent="0.25">
      <c r="A79" s="511"/>
      <c r="B79" s="512"/>
      <c r="C79" s="366"/>
      <c r="D79" s="20">
        <v>975</v>
      </c>
      <c r="E79" s="217" t="s">
        <v>353</v>
      </c>
      <c r="F79" s="217" t="s">
        <v>427</v>
      </c>
      <c r="G79" s="218">
        <v>110</v>
      </c>
      <c r="H79" s="212">
        <v>19.7</v>
      </c>
      <c r="I79" s="212"/>
      <c r="J79" s="212"/>
      <c r="K79" s="212"/>
      <c r="L79" s="212"/>
      <c r="M79" s="212"/>
      <c r="N79" s="213"/>
      <c r="O79" s="213"/>
      <c r="P79" s="213">
        <f>O79</f>
        <v>0</v>
      </c>
      <c r="Q79" s="213">
        <f t="shared" si="4"/>
        <v>0</v>
      </c>
      <c r="R79" s="212">
        <f t="shared" si="5"/>
        <v>19.7</v>
      </c>
      <c r="S79" s="366"/>
    </row>
    <row r="80" spans="1:19" ht="35.1" customHeight="1" x14ac:dyDescent="0.25">
      <c r="A80" s="511"/>
      <c r="B80" s="512"/>
      <c r="C80" s="366"/>
      <c r="D80" s="20">
        <v>975</v>
      </c>
      <c r="E80" s="217" t="s">
        <v>353</v>
      </c>
      <c r="F80" s="217" t="s">
        <v>428</v>
      </c>
      <c r="G80" s="218">
        <v>110</v>
      </c>
      <c r="H80" s="212"/>
      <c r="I80" s="212"/>
      <c r="J80" s="212">
        <v>911.7</v>
      </c>
      <c r="K80" s="212">
        <v>908.9</v>
      </c>
      <c r="L80" s="212">
        <f>724.5+218.8</f>
        <v>943.3</v>
      </c>
      <c r="M80" s="212">
        <v>456.8</v>
      </c>
      <c r="N80" s="213">
        <v>0</v>
      </c>
      <c r="O80" s="213">
        <v>0</v>
      </c>
      <c r="P80" s="213">
        <v>0</v>
      </c>
      <c r="Q80" s="213">
        <f t="shared" si="4"/>
        <v>0</v>
      </c>
      <c r="R80" s="212">
        <f t="shared" si="5"/>
        <v>3220.7</v>
      </c>
      <c r="S80" s="366"/>
    </row>
    <row r="81" spans="1:22" ht="35.1" customHeight="1" x14ac:dyDescent="0.25">
      <c r="A81" s="511"/>
      <c r="B81" s="512"/>
      <c r="C81" s="366"/>
      <c r="D81" s="20">
        <v>975</v>
      </c>
      <c r="E81" s="217" t="s">
        <v>353</v>
      </c>
      <c r="F81" s="217" t="s">
        <v>428</v>
      </c>
      <c r="G81" s="218">
        <v>240</v>
      </c>
      <c r="H81" s="212"/>
      <c r="I81" s="212"/>
      <c r="J81" s="212">
        <v>17.5</v>
      </c>
      <c r="K81" s="212">
        <v>20.2</v>
      </c>
      <c r="L81" s="212">
        <v>20.2</v>
      </c>
      <c r="M81" s="212">
        <v>13.9</v>
      </c>
      <c r="N81" s="213">
        <v>0</v>
      </c>
      <c r="O81" s="213">
        <v>0</v>
      </c>
      <c r="P81" s="213">
        <v>0</v>
      </c>
      <c r="Q81" s="213">
        <f t="shared" si="4"/>
        <v>0</v>
      </c>
      <c r="R81" s="212">
        <f t="shared" si="5"/>
        <v>71.800000000000011</v>
      </c>
      <c r="S81" s="366"/>
    </row>
    <row r="82" spans="1:22" ht="35.1" customHeight="1" x14ac:dyDescent="0.25">
      <c r="A82" s="511"/>
      <c r="B82" s="512"/>
      <c r="C82" s="366"/>
      <c r="D82" s="20">
        <v>975</v>
      </c>
      <c r="E82" s="217" t="s">
        <v>353</v>
      </c>
      <c r="F82" s="217" t="s">
        <v>428</v>
      </c>
      <c r="G82" s="218">
        <v>611</v>
      </c>
      <c r="H82" s="212"/>
      <c r="I82" s="212"/>
      <c r="J82" s="212">
        <v>19514.400000000001</v>
      </c>
      <c r="K82" s="212">
        <v>19413.400000000001</v>
      </c>
      <c r="L82" s="212">
        <v>20229.8</v>
      </c>
      <c r="M82" s="212">
        <v>22664.400000000001</v>
      </c>
      <c r="N82" s="213">
        <v>26051.4</v>
      </c>
      <c r="O82" s="213">
        <v>27078.1</v>
      </c>
      <c r="P82" s="213">
        <v>27078.1</v>
      </c>
      <c r="Q82" s="213">
        <f t="shared" si="4"/>
        <v>27078.1</v>
      </c>
      <c r="R82" s="212">
        <f t="shared" si="5"/>
        <v>189107.7</v>
      </c>
      <c r="S82" s="366"/>
    </row>
    <row r="83" spans="1:22" ht="35.1" customHeight="1" x14ac:dyDescent="0.25">
      <c r="A83" s="511"/>
      <c r="B83" s="512"/>
      <c r="C83" s="366"/>
      <c r="D83" s="20">
        <v>975</v>
      </c>
      <c r="E83" s="217" t="s">
        <v>353</v>
      </c>
      <c r="F83" s="217" t="s">
        <v>428</v>
      </c>
      <c r="G83" s="218">
        <v>612</v>
      </c>
      <c r="H83" s="212"/>
      <c r="I83" s="212"/>
      <c r="J83" s="212"/>
      <c r="K83" s="212">
        <v>119</v>
      </c>
      <c r="L83" s="212">
        <v>113</v>
      </c>
      <c r="M83" s="212">
        <v>118</v>
      </c>
      <c r="N83" s="213">
        <v>0</v>
      </c>
      <c r="O83" s="213">
        <v>0</v>
      </c>
      <c r="P83" s="213">
        <v>0</v>
      </c>
      <c r="Q83" s="213">
        <f t="shared" si="4"/>
        <v>0</v>
      </c>
      <c r="R83" s="212">
        <f t="shared" si="5"/>
        <v>350</v>
      </c>
      <c r="S83" s="366"/>
    </row>
    <row r="84" spans="1:22" ht="35.1" customHeight="1" x14ac:dyDescent="0.25">
      <c r="A84" s="511"/>
      <c r="B84" s="512"/>
      <c r="C84" s="366"/>
      <c r="D84" s="20">
        <v>975</v>
      </c>
      <c r="E84" s="217" t="s">
        <v>353</v>
      </c>
      <c r="F84" s="217" t="s">
        <v>428</v>
      </c>
      <c r="G84" s="218">
        <v>621</v>
      </c>
      <c r="H84" s="212"/>
      <c r="I84" s="212"/>
      <c r="J84" s="212">
        <v>9019.2000000000007</v>
      </c>
      <c r="K84" s="212">
        <v>9035.1</v>
      </c>
      <c r="L84" s="212">
        <v>9369.2999999999993</v>
      </c>
      <c r="M84" s="212">
        <v>7901</v>
      </c>
      <c r="N84" s="213">
        <v>8624</v>
      </c>
      <c r="O84" s="213">
        <v>8991.7999999999993</v>
      </c>
      <c r="P84" s="213">
        <v>8991.7999999999993</v>
      </c>
      <c r="Q84" s="213">
        <f t="shared" si="4"/>
        <v>8991.7999999999993</v>
      </c>
      <c r="R84" s="212">
        <f t="shared" si="5"/>
        <v>70924.000000000015</v>
      </c>
      <c r="S84" s="366"/>
    </row>
    <row r="85" spans="1:22" ht="52.15" customHeight="1" x14ac:dyDescent="0.25">
      <c r="A85" s="511"/>
      <c r="B85" s="512"/>
      <c r="C85" s="366"/>
      <c r="D85" s="20">
        <v>975</v>
      </c>
      <c r="E85" s="217" t="s">
        <v>353</v>
      </c>
      <c r="F85" s="217" t="s">
        <v>429</v>
      </c>
      <c r="G85" s="218">
        <v>621</v>
      </c>
      <c r="H85" s="212"/>
      <c r="I85" s="212"/>
      <c r="J85" s="212"/>
      <c r="K85" s="212"/>
      <c r="L85" s="212">
        <v>162.80000000000001</v>
      </c>
      <c r="M85" s="212">
        <v>48.8</v>
      </c>
      <c r="N85" s="213">
        <v>2.8</v>
      </c>
      <c r="O85" s="213">
        <v>0</v>
      </c>
      <c r="P85" s="213">
        <f>O85</f>
        <v>0</v>
      </c>
      <c r="Q85" s="213">
        <f t="shared" si="4"/>
        <v>0</v>
      </c>
      <c r="R85" s="212">
        <f t="shared" si="5"/>
        <v>214.40000000000003</v>
      </c>
      <c r="S85" s="366"/>
    </row>
    <row r="86" spans="1:22" ht="60.6" customHeight="1" x14ac:dyDescent="0.25">
      <c r="A86" s="511"/>
      <c r="B86" s="512"/>
      <c r="C86" s="366"/>
      <c r="D86" s="20">
        <v>975</v>
      </c>
      <c r="E86" s="217" t="s">
        <v>353</v>
      </c>
      <c r="F86" s="217" t="s">
        <v>430</v>
      </c>
      <c r="G86" s="218">
        <v>611</v>
      </c>
      <c r="H86" s="212"/>
      <c r="I86" s="212"/>
      <c r="J86" s="212"/>
      <c r="K86" s="212"/>
      <c r="L86" s="212">
        <v>329.3</v>
      </c>
      <c r="M86" s="212">
        <v>15</v>
      </c>
      <c r="N86" s="213">
        <v>1086.9000000000001</v>
      </c>
      <c r="O86" s="213">
        <v>0</v>
      </c>
      <c r="P86" s="213">
        <f>O86</f>
        <v>0</v>
      </c>
      <c r="Q86" s="213">
        <f t="shared" si="4"/>
        <v>0</v>
      </c>
      <c r="R86" s="212">
        <f t="shared" si="5"/>
        <v>1431.2</v>
      </c>
      <c r="S86" s="366"/>
    </row>
    <row r="87" spans="1:22" ht="35.1" customHeight="1" x14ac:dyDescent="0.25">
      <c r="A87" s="511"/>
      <c r="B87" s="512"/>
      <c r="C87" s="366"/>
      <c r="D87" s="20">
        <v>975</v>
      </c>
      <c r="E87" s="217" t="s">
        <v>353</v>
      </c>
      <c r="F87" s="217" t="s">
        <v>431</v>
      </c>
      <c r="G87" s="218">
        <v>611</v>
      </c>
      <c r="H87" s="212"/>
      <c r="I87" s="212"/>
      <c r="J87" s="212"/>
      <c r="K87" s="212"/>
      <c r="L87" s="212"/>
      <c r="M87" s="212">
        <v>116.5</v>
      </c>
      <c r="N87" s="213"/>
      <c r="O87" s="213"/>
      <c r="P87" s="213"/>
      <c r="Q87" s="213">
        <f t="shared" si="4"/>
        <v>0</v>
      </c>
      <c r="R87" s="212">
        <f t="shared" si="5"/>
        <v>116.5</v>
      </c>
      <c r="S87" s="366"/>
    </row>
    <row r="88" spans="1:22" ht="35.1" customHeight="1" x14ac:dyDescent="0.25">
      <c r="A88" s="511"/>
      <c r="B88" s="512"/>
      <c r="C88" s="366"/>
      <c r="D88" s="20">
        <v>975</v>
      </c>
      <c r="E88" s="217" t="s">
        <v>353</v>
      </c>
      <c r="F88" s="217" t="s">
        <v>431</v>
      </c>
      <c r="G88" s="218">
        <v>621</v>
      </c>
      <c r="H88" s="212"/>
      <c r="I88" s="212"/>
      <c r="J88" s="212"/>
      <c r="K88" s="212"/>
      <c r="L88" s="212"/>
      <c r="M88" s="212">
        <v>3.6</v>
      </c>
      <c r="N88" s="213"/>
      <c r="O88" s="213"/>
      <c r="P88" s="213"/>
      <c r="Q88" s="213">
        <f t="shared" si="4"/>
        <v>0</v>
      </c>
      <c r="R88" s="212">
        <f t="shared" si="5"/>
        <v>3.6</v>
      </c>
      <c r="S88" s="366"/>
    </row>
    <row r="89" spans="1:22" ht="35.1" customHeight="1" x14ac:dyDescent="0.25">
      <c r="A89" s="511"/>
      <c r="B89" s="512"/>
      <c r="C89" s="366"/>
      <c r="D89" s="20">
        <v>975</v>
      </c>
      <c r="E89" s="217" t="s">
        <v>353</v>
      </c>
      <c r="F89" s="217" t="s">
        <v>432</v>
      </c>
      <c r="G89" s="218">
        <v>110</v>
      </c>
      <c r="H89" s="212"/>
      <c r="I89" s="212"/>
      <c r="J89" s="212"/>
      <c r="K89" s="212"/>
      <c r="L89" s="212">
        <v>460.4</v>
      </c>
      <c r="M89" s="212"/>
      <c r="N89" s="213"/>
      <c r="O89" s="213"/>
      <c r="P89" s="213">
        <f>O89</f>
        <v>0</v>
      </c>
      <c r="Q89" s="213">
        <f t="shared" si="4"/>
        <v>0</v>
      </c>
      <c r="R89" s="212">
        <f t="shared" si="5"/>
        <v>460.4</v>
      </c>
      <c r="S89" s="366"/>
    </row>
    <row r="90" spans="1:22" ht="35.1" customHeight="1" x14ac:dyDescent="0.25">
      <c r="A90" s="511"/>
      <c r="B90" s="512"/>
      <c r="C90" s="366"/>
      <c r="D90" s="20">
        <v>975</v>
      </c>
      <c r="E90" s="217" t="s">
        <v>353</v>
      </c>
      <c r="F90" s="217" t="s">
        <v>428</v>
      </c>
      <c r="G90" s="218">
        <v>870</v>
      </c>
      <c r="H90" s="212"/>
      <c r="I90" s="212"/>
      <c r="J90" s="212"/>
      <c r="K90" s="212"/>
      <c r="L90" s="212"/>
      <c r="M90" s="212"/>
      <c r="N90" s="213"/>
      <c r="O90" s="213"/>
      <c r="P90" s="213">
        <f>O90</f>
        <v>0</v>
      </c>
      <c r="Q90" s="213">
        <f t="shared" si="4"/>
        <v>0</v>
      </c>
      <c r="R90" s="212">
        <f t="shared" si="5"/>
        <v>0</v>
      </c>
      <c r="S90" s="366"/>
    </row>
    <row r="91" spans="1:22" ht="35.1" customHeight="1" x14ac:dyDescent="0.25">
      <c r="A91" s="511"/>
      <c r="B91" s="512"/>
      <c r="C91" s="366"/>
      <c r="D91" s="20">
        <v>975</v>
      </c>
      <c r="E91" s="217" t="s">
        <v>353</v>
      </c>
      <c r="F91" s="217" t="s">
        <v>427</v>
      </c>
      <c r="G91" s="218">
        <v>611</v>
      </c>
      <c r="H91" s="212">
        <v>77</v>
      </c>
      <c r="I91" s="212"/>
      <c r="J91" s="212"/>
      <c r="K91" s="212"/>
      <c r="L91" s="212"/>
      <c r="M91" s="212"/>
      <c r="N91" s="213"/>
      <c r="O91" s="213"/>
      <c r="P91" s="213">
        <f>O91</f>
        <v>0</v>
      </c>
      <c r="Q91" s="213">
        <f t="shared" si="4"/>
        <v>0</v>
      </c>
      <c r="R91" s="212">
        <f t="shared" si="5"/>
        <v>77</v>
      </c>
      <c r="S91" s="366"/>
    </row>
    <row r="92" spans="1:22" ht="69.75" customHeight="1" x14ac:dyDescent="0.25">
      <c r="A92" s="239" t="s">
        <v>143</v>
      </c>
      <c r="B92" s="225" t="s">
        <v>433</v>
      </c>
      <c r="C92" s="20" t="s">
        <v>17</v>
      </c>
      <c r="D92" s="217" t="s">
        <v>18</v>
      </c>
      <c r="E92" s="217" t="s">
        <v>353</v>
      </c>
      <c r="F92" s="20" t="s">
        <v>15</v>
      </c>
      <c r="G92" s="20" t="s">
        <v>15</v>
      </c>
      <c r="H92" s="50">
        <v>777.6</v>
      </c>
      <c r="I92" s="50">
        <v>532.1</v>
      </c>
      <c r="J92" s="50">
        <v>1013.8</v>
      </c>
      <c r="K92" s="50">
        <v>1013.8</v>
      </c>
      <c r="L92" s="50">
        <f>201+878</f>
        <v>1079</v>
      </c>
      <c r="M92" s="50">
        <f>772.8+3490.5</f>
        <v>4263.3</v>
      </c>
      <c r="N92" s="52">
        <f>984.9+5315.8</f>
        <v>6300.7</v>
      </c>
      <c r="O92" s="49">
        <f>1407+5315.8-4300</f>
        <v>2422.8000000000002</v>
      </c>
      <c r="P92" s="49">
        <f>1407+5315.8-4300</f>
        <v>2422.8000000000002</v>
      </c>
      <c r="Q92" s="213">
        <f t="shared" si="4"/>
        <v>2422.8000000000002</v>
      </c>
      <c r="R92" s="212">
        <f t="shared" si="5"/>
        <v>22248.699999999997</v>
      </c>
      <c r="S92" s="366"/>
    </row>
    <row r="93" spans="1:22" ht="75" hidden="1" customHeight="1" x14ac:dyDescent="0.25">
      <c r="A93" s="240" t="s">
        <v>141</v>
      </c>
      <c r="B93" s="241" t="s">
        <v>434</v>
      </c>
      <c r="C93" s="241" t="s">
        <v>17</v>
      </c>
      <c r="D93" s="242" t="s">
        <v>18</v>
      </c>
      <c r="E93" s="242" t="s">
        <v>353</v>
      </c>
      <c r="F93" s="242" t="s">
        <v>15</v>
      </c>
      <c r="G93" s="241" t="s">
        <v>15</v>
      </c>
      <c r="H93" s="243">
        <v>0</v>
      </c>
      <c r="I93" s="243">
        <v>0</v>
      </c>
      <c r="J93" s="243">
        <v>0</v>
      </c>
      <c r="K93" s="243"/>
      <c r="L93" s="243"/>
      <c r="M93" s="243"/>
      <c r="N93" s="244"/>
      <c r="O93" s="244"/>
      <c r="P93" s="213">
        <f t="shared" ref="P93:P98" si="7">O93</f>
        <v>0</v>
      </c>
      <c r="Q93" s="213">
        <f t="shared" si="4"/>
        <v>0</v>
      </c>
      <c r="R93" s="212">
        <f t="shared" si="5"/>
        <v>0</v>
      </c>
      <c r="S93" s="20" t="s">
        <v>435</v>
      </c>
      <c r="T93" s="36">
        <v>2</v>
      </c>
    </row>
    <row r="94" spans="1:22" ht="134.25" hidden="1" customHeight="1" x14ac:dyDescent="0.25">
      <c r="A94" s="240" t="s">
        <v>143</v>
      </c>
      <c r="B94" s="225" t="s">
        <v>436</v>
      </c>
      <c r="C94" s="20" t="s">
        <v>17</v>
      </c>
      <c r="D94" s="240" t="s">
        <v>18</v>
      </c>
      <c r="E94" s="240" t="s">
        <v>437</v>
      </c>
      <c r="F94" s="240" t="s">
        <v>15</v>
      </c>
      <c r="G94" s="20" t="s">
        <v>15</v>
      </c>
      <c r="H94" s="50">
        <v>0</v>
      </c>
      <c r="I94" s="50">
        <v>0</v>
      </c>
      <c r="J94" s="50">
        <v>0</v>
      </c>
      <c r="K94" s="50"/>
      <c r="L94" s="50"/>
      <c r="M94" s="50"/>
      <c r="N94" s="49"/>
      <c r="O94" s="49"/>
      <c r="P94" s="213">
        <f t="shared" si="7"/>
        <v>0</v>
      </c>
      <c r="Q94" s="213">
        <f t="shared" si="4"/>
        <v>0</v>
      </c>
      <c r="R94" s="212">
        <f t="shared" si="5"/>
        <v>0</v>
      </c>
      <c r="S94" s="20" t="s">
        <v>438</v>
      </c>
    </row>
    <row r="95" spans="1:22" ht="72.75" hidden="1" customHeight="1" x14ac:dyDescent="0.25">
      <c r="A95" s="240" t="s">
        <v>145</v>
      </c>
      <c r="B95" s="20" t="s">
        <v>439</v>
      </c>
      <c r="C95" s="20" t="s">
        <v>17</v>
      </c>
      <c r="D95" s="240" t="s">
        <v>18</v>
      </c>
      <c r="E95" s="240" t="s">
        <v>437</v>
      </c>
      <c r="F95" s="240" t="s">
        <v>15</v>
      </c>
      <c r="G95" s="20" t="s">
        <v>15</v>
      </c>
      <c r="H95" s="50">
        <v>0</v>
      </c>
      <c r="I95" s="50">
        <v>0</v>
      </c>
      <c r="J95" s="50">
        <v>0</v>
      </c>
      <c r="K95" s="243"/>
      <c r="L95" s="243"/>
      <c r="M95" s="243"/>
      <c r="N95" s="244"/>
      <c r="O95" s="244"/>
      <c r="P95" s="213">
        <f t="shared" si="7"/>
        <v>0</v>
      </c>
      <c r="Q95" s="213">
        <f t="shared" si="4"/>
        <v>0</v>
      </c>
      <c r="R95" s="212">
        <f t="shared" si="5"/>
        <v>0</v>
      </c>
      <c r="S95" s="245" t="s">
        <v>440</v>
      </c>
    </row>
    <row r="96" spans="1:22" ht="78" hidden="1" customHeight="1" x14ac:dyDescent="0.25">
      <c r="A96" s="246"/>
      <c r="B96" s="20" t="s">
        <v>441</v>
      </c>
      <c r="C96" s="20" t="s">
        <v>17</v>
      </c>
      <c r="D96" s="240"/>
      <c r="E96" s="240"/>
      <c r="F96" s="240"/>
      <c r="G96" s="20" t="s">
        <v>15</v>
      </c>
      <c r="H96" s="212"/>
      <c r="I96" s="212"/>
      <c r="J96" s="50"/>
      <c r="K96" s="50"/>
      <c r="L96" s="50"/>
      <c r="M96" s="50"/>
      <c r="N96" s="49"/>
      <c r="O96" s="49"/>
      <c r="P96" s="213">
        <f t="shared" si="7"/>
        <v>0</v>
      </c>
      <c r="Q96" s="213">
        <f t="shared" si="4"/>
        <v>0</v>
      </c>
      <c r="R96" s="212">
        <f t="shared" si="5"/>
        <v>0</v>
      </c>
      <c r="S96" s="20" t="s">
        <v>442</v>
      </c>
      <c r="T96" s="247" t="s">
        <v>443</v>
      </c>
      <c r="U96" s="248" t="s">
        <v>444</v>
      </c>
      <c r="V96" s="249" t="s">
        <v>445</v>
      </c>
    </row>
    <row r="97" spans="1:22" ht="86.25" hidden="1" customHeight="1" x14ac:dyDescent="0.25">
      <c r="A97" s="246" t="s">
        <v>147</v>
      </c>
      <c r="B97" s="20" t="s">
        <v>446</v>
      </c>
      <c r="C97" s="20" t="s">
        <v>447</v>
      </c>
      <c r="D97" s="240" t="s">
        <v>18</v>
      </c>
      <c r="E97" s="240" t="s">
        <v>353</v>
      </c>
      <c r="F97" s="240" t="s">
        <v>448</v>
      </c>
      <c r="G97" s="20">
        <v>244</v>
      </c>
      <c r="H97" s="212"/>
      <c r="I97" s="212"/>
      <c r="J97" s="50"/>
      <c r="K97" s="50"/>
      <c r="L97" s="50"/>
      <c r="M97" s="50"/>
      <c r="N97" s="49"/>
      <c r="O97" s="49"/>
      <c r="P97" s="213">
        <f t="shared" si="7"/>
        <v>0</v>
      </c>
      <c r="Q97" s="213">
        <f t="shared" si="4"/>
        <v>0</v>
      </c>
      <c r="R97" s="212">
        <f t="shared" si="5"/>
        <v>0</v>
      </c>
      <c r="S97" s="20" t="s">
        <v>449</v>
      </c>
      <c r="T97" s="250"/>
      <c r="U97" s="248"/>
      <c r="V97" s="249"/>
    </row>
    <row r="98" spans="1:22" ht="70.5" hidden="1" customHeight="1" x14ac:dyDescent="0.25">
      <c r="A98" s="246" t="s">
        <v>149</v>
      </c>
      <c r="B98" s="20" t="s">
        <v>450</v>
      </c>
      <c r="C98" s="20" t="s">
        <v>447</v>
      </c>
      <c r="D98" s="240" t="s">
        <v>18</v>
      </c>
      <c r="E98" s="240" t="s">
        <v>353</v>
      </c>
      <c r="F98" s="240" t="s">
        <v>15</v>
      </c>
      <c r="G98" s="20" t="s">
        <v>15</v>
      </c>
      <c r="H98" s="212">
        <v>0</v>
      </c>
      <c r="I98" s="212">
        <v>0</v>
      </c>
      <c r="J98" s="212">
        <v>0</v>
      </c>
      <c r="K98" s="212"/>
      <c r="L98" s="212"/>
      <c r="M98" s="212"/>
      <c r="N98" s="213"/>
      <c r="O98" s="213"/>
      <c r="P98" s="213">
        <f t="shared" si="7"/>
        <v>0</v>
      </c>
      <c r="Q98" s="213">
        <f t="shared" si="4"/>
        <v>0</v>
      </c>
      <c r="R98" s="212">
        <f t="shared" si="5"/>
        <v>0</v>
      </c>
      <c r="S98" s="20" t="s">
        <v>451</v>
      </c>
      <c r="T98" s="250"/>
      <c r="U98" s="248"/>
      <c r="V98" s="249"/>
    </row>
    <row r="99" spans="1:22" ht="21" customHeight="1" x14ac:dyDescent="0.25">
      <c r="A99" s="505" t="s">
        <v>452</v>
      </c>
      <c r="B99" s="505"/>
      <c r="C99" s="251"/>
      <c r="D99" s="251"/>
      <c r="E99" s="251"/>
      <c r="F99" s="251"/>
      <c r="G99" s="251"/>
      <c r="H99" s="50">
        <f t="shared" ref="H99:P99" si="8">SUM(H50:H98)</f>
        <v>179920.50000000003</v>
      </c>
      <c r="I99" s="50">
        <f t="shared" si="8"/>
        <v>191066.30000000002</v>
      </c>
      <c r="J99" s="50">
        <f t="shared" si="8"/>
        <v>202246.1</v>
      </c>
      <c r="K99" s="50">
        <f t="shared" si="8"/>
        <v>210858.7</v>
      </c>
      <c r="L99" s="50">
        <f t="shared" si="8"/>
        <v>222793.49999999997</v>
      </c>
      <c r="M99" s="50">
        <f t="shared" si="8"/>
        <v>233577.89999999994</v>
      </c>
      <c r="N99" s="49">
        <f t="shared" si="8"/>
        <v>227588.19999999998</v>
      </c>
      <c r="O99" s="49">
        <f t="shared" si="8"/>
        <v>234129</v>
      </c>
      <c r="P99" s="49">
        <f t="shared" si="8"/>
        <v>234129</v>
      </c>
      <c r="Q99" s="213">
        <f t="shared" si="4"/>
        <v>234129</v>
      </c>
      <c r="R99" s="212">
        <f t="shared" si="5"/>
        <v>2170438.2000000002</v>
      </c>
      <c r="S99" s="252"/>
    </row>
    <row r="100" spans="1:22" ht="27.75" customHeight="1" x14ac:dyDescent="0.25">
      <c r="A100" s="253" t="s">
        <v>340</v>
      </c>
      <c r="B100" s="253"/>
      <c r="C100" s="253"/>
      <c r="D100" s="253"/>
      <c r="E100" s="253"/>
      <c r="F100" s="253"/>
      <c r="G100" s="253"/>
      <c r="H100" s="254"/>
      <c r="I100" s="254"/>
      <c r="J100" s="254"/>
      <c r="K100" s="254"/>
      <c r="L100" s="254"/>
      <c r="M100" s="254"/>
      <c r="N100" s="255"/>
      <c r="O100" s="255"/>
      <c r="P100" s="255"/>
      <c r="Q100" s="255"/>
      <c r="R100" s="254"/>
      <c r="S100" s="253"/>
    </row>
    <row r="101" spans="1:22" ht="35.1" customHeight="1" x14ac:dyDescent="0.25">
      <c r="A101" s="506" t="s">
        <v>453</v>
      </c>
      <c r="B101" s="507" t="s">
        <v>454</v>
      </c>
      <c r="C101" s="359" t="s">
        <v>17</v>
      </c>
      <c r="D101" s="240" t="s">
        <v>18</v>
      </c>
      <c r="E101" s="240" t="s">
        <v>422</v>
      </c>
      <c r="F101" s="256" t="s">
        <v>455</v>
      </c>
      <c r="G101" s="253">
        <v>611</v>
      </c>
      <c r="H101" s="50">
        <v>23037.9</v>
      </c>
      <c r="I101" s="50">
        <v>23911.599999999999</v>
      </c>
      <c r="J101" s="50">
        <v>22936.7</v>
      </c>
      <c r="K101" s="50">
        <v>22825.4</v>
      </c>
      <c r="L101" s="50">
        <v>23271.9</v>
      </c>
      <c r="M101" s="50">
        <v>24149.7</v>
      </c>
      <c r="N101" s="49">
        <v>20773.7</v>
      </c>
      <c r="O101" s="49">
        <v>25043.3</v>
      </c>
      <c r="P101" s="49">
        <v>25043.3</v>
      </c>
      <c r="Q101" s="49">
        <f>P101</f>
        <v>25043.3</v>
      </c>
      <c r="R101" s="212">
        <f>SUM(H101:Q101)</f>
        <v>236036.8</v>
      </c>
      <c r="S101" s="366" t="s">
        <v>456</v>
      </c>
    </row>
    <row r="102" spans="1:22" ht="35.1" customHeight="1" x14ac:dyDescent="0.25">
      <c r="A102" s="506"/>
      <c r="B102" s="508"/>
      <c r="C102" s="359"/>
      <c r="D102" s="240" t="s">
        <v>18</v>
      </c>
      <c r="E102" s="240" t="s">
        <v>422</v>
      </c>
      <c r="F102" s="256" t="s">
        <v>455</v>
      </c>
      <c r="G102" s="253">
        <v>612</v>
      </c>
      <c r="H102" s="50">
        <v>228.9</v>
      </c>
      <c r="I102" s="50">
        <v>1514.5</v>
      </c>
      <c r="J102" s="50">
        <f>13390.2-J114-J117</f>
        <v>13254.2</v>
      </c>
      <c r="K102" s="50">
        <v>6851.9</v>
      </c>
      <c r="L102" s="50">
        <v>120</v>
      </c>
      <c r="M102" s="50">
        <v>14.5</v>
      </c>
      <c r="N102" s="49">
        <v>0</v>
      </c>
      <c r="O102" s="49">
        <v>0</v>
      </c>
      <c r="P102" s="49">
        <f t="shared" ref="P102:Q133" si="9">O102</f>
        <v>0</v>
      </c>
      <c r="Q102" s="49">
        <f t="shared" si="9"/>
        <v>0</v>
      </c>
      <c r="R102" s="212">
        <f t="shared" ref="R102:R133" si="10">SUM(H102:Q102)</f>
        <v>21984</v>
      </c>
      <c r="S102" s="366"/>
    </row>
    <row r="103" spans="1:22" ht="35.1" customHeight="1" x14ac:dyDescent="0.25">
      <c r="A103" s="506"/>
      <c r="B103" s="508"/>
      <c r="C103" s="359"/>
      <c r="D103" s="240" t="s">
        <v>18</v>
      </c>
      <c r="E103" s="240" t="s">
        <v>422</v>
      </c>
      <c r="F103" s="256" t="s">
        <v>415</v>
      </c>
      <c r="G103" s="253">
        <v>611</v>
      </c>
      <c r="H103" s="50"/>
      <c r="I103" s="50"/>
      <c r="J103" s="50"/>
      <c r="K103" s="50">
        <v>2950.8</v>
      </c>
      <c r="L103" s="50">
        <v>3915.8</v>
      </c>
      <c r="M103" s="50">
        <v>6010.2</v>
      </c>
      <c r="N103" s="49">
        <v>6148.7</v>
      </c>
      <c r="O103" s="49">
        <v>6148.7</v>
      </c>
      <c r="P103" s="49">
        <f t="shared" si="9"/>
        <v>6148.7</v>
      </c>
      <c r="Q103" s="49">
        <f t="shared" si="9"/>
        <v>6148.7</v>
      </c>
      <c r="R103" s="212">
        <f t="shared" si="10"/>
        <v>37471.599999999999</v>
      </c>
      <c r="S103" s="366"/>
    </row>
    <row r="104" spans="1:22" ht="35.1" customHeight="1" x14ac:dyDescent="0.25">
      <c r="A104" s="506"/>
      <c r="B104" s="508"/>
      <c r="C104" s="359"/>
      <c r="D104" s="240" t="s">
        <v>18</v>
      </c>
      <c r="E104" s="240" t="s">
        <v>422</v>
      </c>
      <c r="F104" s="256" t="s">
        <v>457</v>
      </c>
      <c r="G104" s="253">
        <v>611</v>
      </c>
      <c r="H104" s="50"/>
      <c r="I104" s="50"/>
      <c r="J104" s="50"/>
      <c r="K104" s="50">
        <v>111.3</v>
      </c>
      <c r="L104" s="50">
        <v>106.9</v>
      </c>
      <c r="M104" s="50">
        <v>105.5</v>
      </c>
      <c r="N104" s="49">
        <v>0</v>
      </c>
      <c r="O104" s="49">
        <v>0</v>
      </c>
      <c r="P104" s="49">
        <v>0</v>
      </c>
      <c r="Q104" s="49">
        <f t="shared" si="9"/>
        <v>0</v>
      </c>
      <c r="R104" s="212">
        <f t="shared" si="10"/>
        <v>323.7</v>
      </c>
      <c r="S104" s="366"/>
    </row>
    <row r="105" spans="1:22" ht="35.1" customHeight="1" x14ac:dyDescent="0.25">
      <c r="A105" s="506"/>
      <c r="B105" s="508"/>
      <c r="C105" s="359"/>
      <c r="D105" s="240" t="s">
        <v>18</v>
      </c>
      <c r="E105" s="240" t="s">
        <v>422</v>
      </c>
      <c r="F105" s="256" t="s">
        <v>458</v>
      </c>
      <c r="G105" s="253">
        <v>611</v>
      </c>
      <c r="H105" s="50">
        <v>0</v>
      </c>
      <c r="I105" s="50">
        <v>0</v>
      </c>
      <c r="J105" s="50">
        <v>0</v>
      </c>
      <c r="K105" s="50">
        <v>547.79999999999995</v>
      </c>
      <c r="L105" s="50">
        <v>0</v>
      </c>
      <c r="M105" s="50">
        <v>0</v>
      </c>
      <c r="N105" s="49">
        <v>0</v>
      </c>
      <c r="O105" s="49">
        <v>0</v>
      </c>
      <c r="P105" s="49">
        <f t="shared" si="9"/>
        <v>0</v>
      </c>
      <c r="Q105" s="49">
        <f t="shared" si="9"/>
        <v>0</v>
      </c>
      <c r="R105" s="212">
        <f t="shared" si="10"/>
        <v>547.79999999999995</v>
      </c>
      <c r="S105" s="366"/>
    </row>
    <row r="106" spans="1:22" ht="35.1" customHeight="1" x14ac:dyDescent="0.25">
      <c r="A106" s="506"/>
      <c r="B106" s="508"/>
      <c r="C106" s="359"/>
      <c r="D106" s="240" t="s">
        <v>18</v>
      </c>
      <c r="E106" s="240" t="s">
        <v>422</v>
      </c>
      <c r="F106" s="256" t="s">
        <v>459</v>
      </c>
      <c r="G106" s="253">
        <v>611</v>
      </c>
      <c r="H106" s="50"/>
      <c r="I106" s="50"/>
      <c r="J106" s="50"/>
      <c r="K106" s="50"/>
      <c r="L106" s="50">
        <v>1204.5</v>
      </c>
      <c r="M106" s="50">
        <v>1690.6</v>
      </c>
      <c r="N106" s="49">
        <v>1068.0999999999999</v>
      </c>
      <c r="O106" s="49">
        <v>0</v>
      </c>
      <c r="P106" s="49">
        <f t="shared" si="9"/>
        <v>0</v>
      </c>
      <c r="Q106" s="49">
        <f t="shared" si="9"/>
        <v>0</v>
      </c>
      <c r="R106" s="212">
        <f t="shared" si="10"/>
        <v>3963.2</v>
      </c>
      <c r="S106" s="366"/>
    </row>
    <row r="107" spans="1:22" ht="59.45" customHeight="1" x14ac:dyDescent="0.25">
      <c r="A107" s="506"/>
      <c r="B107" s="508"/>
      <c r="C107" s="359"/>
      <c r="D107" s="240" t="s">
        <v>18</v>
      </c>
      <c r="E107" s="240" t="s">
        <v>422</v>
      </c>
      <c r="F107" s="217" t="s">
        <v>430</v>
      </c>
      <c r="G107" s="253">
        <v>611</v>
      </c>
      <c r="H107" s="50"/>
      <c r="I107" s="50"/>
      <c r="J107" s="50"/>
      <c r="K107" s="50"/>
      <c r="L107" s="50">
        <v>689.2</v>
      </c>
      <c r="M107" s="50">
        <v>97.3</v>
      </c>
      <c r="N107" s="49">
        <v>589.4</v>
      </c>
      <c r="O107" s="49">
        <v>0</v>
      </c>
      <c r="P107" s="49">
        <f t="shared" si="9"/>
        <v>0</v>
      </c>
      <c r="Q107" s="49">
        <f t="shared" si="9"/>
        <v>0</v>
      </c>
      <c r="R107" s="212">
        <f t="shared" si="10"/>
        <v>1375.9</v>
      </c>
      <c r="S107" s="366"/>
    </row>
    <row r="108" spans="1:22" ht="59.45" customHeight="1" x14ac:dyDescent="0.25">
      <c r="A108" s="506"/>
      <c r="B108" s="508"/>
      <c r="C108" s="359"/>
      <c r="D108" s="240" t="s">
        <v>18</v>
      </c>
      <c r="E108" s="240" t="s">
        <v>422</v>
      </c>
      <c r="F108" s="217" t="s">
        <v>460</v>
      </c>
      <c r="G108" s="253">
        <v>611</v>
      </c>
      <c r="H108" s="50"/>
      <c r="I108" s="50"/>
      <c r="J108" s="50"/>
      <c r="K108" s="50"/>
      <c r="L108" s="50"/>
      <c r="M108" s="50"/>
      <c r="N108" s="49">
        <v>282.8</v>
      </c>
      <c r="O108" s="49"/>
      <c r="P108" s="49"/>
      <c r="Q108" s="49">
        <f t="shared" si="9"/>
        <v>0</v>
      </c>
      <c r="R108" s="212">
        <f t="shared" si="10"/>
        <v>282.8</v>
      </c>
      <c r="S108" s="366"/>
    </row>
    <row r="109" spans="1:22" ht="35.1" customHeight="1" x14ac:dyDescent="0.25">
      <c r="A109" s="506"/>
      <c r="B109" s="508"/>
      <c r="C109" s="359"/>
      <c r="D109" s="240" t="s">
        <v>18</v>
      </c>
      <c r="E109" s="240" t="s">
        <v>422</v>
      </c>
      <c r="F109" s="256" t="s">
        <v>461</v>
      </c>
      <c r="G109" s="253">
        <v>612</v>
      </c>
      <c r="H109" s="50"/>
      <c r="I109" s="50"/>
      <c r="J109" s="50"/>
      <c r="K109" s="50"/>
      <c r="L109" s="50">
        <v>1000</v>
      </c>
      <c r="M109" s="50"/>
      <c r="N109" s="49"/>
      <c r="O109" s="49"/>
      <c r="P109" s="49">
        <f t="shared" si="9"/>
        <v>0</v>
      </c>
      <c r="Q109" s="49">
        <f t="shared" si="9"/>
        <v>0</v>
      </c>
      <c r="R109" s="212">
        <f t="shared" si="10"/>
        <v>1000</v>
      </c>
      <c r="S109" s="366"/>
    </row>
    <row r="110" spans="1:22" ht="35.1" customHeight="1" x14ac:dyDescent="0.25">
      <c r="A110" s="506"/>
      <c r="B110" s="508"/>
      <c r="C110" s="359"/>
      <c r="D110" s="240" t="s">
        <v>18</v>
      </c>
      <c r="E110" s="240" t="s">
        <v>422</v>
      </c>
      <c r="F110" s="256" t="s">
        <v>462</v>
      </c>
      <c r="G110" s="253">
        <v>612</v>
      </c>
      <c r="H110" s="50"/>
      <c r="I110" s="50"/>
      <c r="J110" s="50"/>
      <c r="K110" s="50"/>
      <c r="L110" s="50">
        <v>50</v>
      </c>
      <c r="M110" s="50"/>
      <c r="N110" s="49"/>
      <c r="O110" s="49"/>
      <c r="P110" s="49">
        <f t="shared" si="9"/>
        <v>0</v>
      </c>
      <c r="Q110" s="49">
        <f t="shared" si="9"/>
        <v>0</v>
      </c>
      <c r="R110" s="212">
        <f t="shared" si="10"/>
        <v>50</v>
      </c>
      <c r="S110" s="366"/>
    </row>
    <row r="111" spans="1:22" ht="35.1" customHeight="1" x14ac:dyDescent="0.25">
      <c r="A111" s="506"/>
      <c r="B111" s="508"/>
      <c r="C111" s="359"/>
      <c r="D111" s="240" t="s">
        <v>18</v>
      </c>
      <c r="E111" s="240" t="s">
        <v>422</v>
      </c>
      <c r="F111" s="256" t="s">
        <v>431</v>
      </c>
      <c r="G111" s="253">
        <v>611</v>
      </c>
      <c r="H111" s="50"/>
      <c r="I111" s="50"/>
      <c r="J111" s="50"/>
      <c r="K111" s="50"/>
      <c r="L111" s="50"/>
      <c r="M111" s="50">
        <v>94.7</v>
      </c>
      <c r="N111" s="49"/>
      <c r="O111" s="49"/>
      <c r="P111" s="49"/>
      <c r="Q111" s="49">
        <f t="shared" si="9"/>
        <v>0</v>
      </c>
      <c r="R111" s="212">
        <f t="shared" si="10"/>
        <v>94.7</v>
      </c>
      <c r="S111" s="366"/>
    </row>
    <row r="112" spans="1:22" ht="35.1" customHeight="1" x14ac:dyDescent="0.25">
      <c r="A112" s="506"/>
      <c r="B112" s="509"/>
      <c r="C112" s="359"/>
      <c r="D112" s="240" t="s">
        <v>18</v>
      </c>
      <c r="E112" s="240" t="s">
        <v>422</v>
      </c>
      <c r="F112" s="256" t="s">
        <v>463</v>
      </c>
      <c r="G112" s="253">
        <v>611</v>
      </c>
      <c r="H112" s="50"/>
      <c r="I112" s="50"/>
      <c r="J112" s="50"/>
      <c r="K112" s="50"/>
      <c r="L112" s="50"/>
      <c r="M112" s="50">
        <v>75.8</v>
      </c>
      <c r="N112" s="49"/>
      <c r="O112" s="49"/>
      <c r="P112" s="49"/>
      <c r="Q112" s="49">
        <f t="shared" si="9"/>
        <v>0</v>
      </c>
      <c r="R112" s="212">
        <f t="shared" si="10"/>
        <v>75.8</v>
      </c>
      <c r="S112" s="366"/>
    </row>
    <row r="113" spans="1:19" ht="51.75" customHeight="1" x14ac:dyDescent="0.25">
      <c r="A113" s="506"/>
      <c r="B113" s="225" t="s">
        <v>464</v>
      </c>
      <c r="C113" s="359"/>
      <c r="D113" s="240" t="s">
        <v>18</v>
      </c>
      <c r="E113" s="240" t="s">
        <v>422</v>
      </c>
      <c r="F113" s="240" t="s">
        <v>15</v>
      </c>
      <c r="G113" s="20" t="s">
        <v>15</v>
      </c>
      <c r="H113" s="50">
        <f>959+71.4+16.6</f>
        <v>1047</v>
      </c>
      <c r="I113" s="50">
        <v>1619.2</v>
      </c>
      <c r="J113" s="50">
        <v>1279</v>
      </c>
      <c r="K113" s="50">
        <v>1279</v>
      </c>
      <c r="L113" s="50">
        <f>2009.3+22</f>
        <v>2031.3</v>
      </c>
      <c r="M113" s="50">
        <v>1418.7</v>
      </c>
      <c r="N113" s="52">
        <v>428.2</v>
      </c>
      <c r="O113" s="49">
        <v>1016.2</v>
      </c>
      <c r="P113" s="49">
        <v>1016.2</v>
      </c>
      <c r="Q113" s="49">
        <f t="shared" si="9"/>
        <v>1016.2</v>
      </c>
      <c r="R113" s="212">
        <f t="shared" si="10"/>
        <v>12151.000000000004</v>
      </c>
      <c r="S113" s="366"/>
    </row>
    <row r="114" spans="1:19" ht="68.45" customHeight="1" x14ac:dyDescent="0.25">
      <c r="A114" s="501" t="s">
        <v>465</v>
      </c>
      <c r="B114" s="502" t="s">
        <v>466</v>
      </c>
      <c r="C114" s="503" t="s">
        <v>467</v>
      </c>
      <c r="D114" s="257" t="s">
        <v>18</v>
      </c>
      <c r="E114" s="257" t="s">
        <v>353</v>
      </c>
      <c r="F114" s="257" t="s">
        <v>455</v>
      </c>
      <c r="G114" s="62">
        <v>612</v>
      </c>
      <c r="H114" s="49"/>
      <c r="I114" s="49">
        <v>49.6</v>
      </c>
      <c r="J114" s="49">
        <v>63.5</v>
      </c>
      <c r="K114" s="258"/>
      <c r="L114" s="258"/>
      <c r="M114" s="258"/>
      <c r="N114" s="259"/>
      <c r="O114" s="259"/>
      <c r="P114" s="49">
        <f t="shared" si="9"/>
        <v>0</v>
      </c>
      <c r="Q114" s="49">
        <f t="shared" si="9"/>
        <v>0</v>
      </c>
      <c r="R114" s="212">
        <f t="shared" si="10"/>
        <v>113.1</v>
      </c>
      <c r="S114" s="502" t="s">
        <v>468</v>
      </c>
    </row>
    <row r="115" spans="1:19" ht="61.5" customHeight="1" x14ac:dyDescent="0.25">
      <c r="A115" s="501"/>
      <c r="B115" s="502"/>
      <c r="C115" s="503"/>
      <c r="D115" s="257" t="s">
        <v>18</v>
      </c>
      <c r="E115" s="257" t="s">
        <v>353</v>
      </c>
      <c r="F115" s="257" t="s">
        <v>455</v>
      </c>
      <c r="G115" s="62">
        <v>244</v>
      </c>
      <c r="H115" s="49">
        <v>59.6</v>
      </c>
      <c r="I115" s="49">
        <v>10</v>
      </c>
      <c r="J115" s="49">
        <v>10</v>
      </c>
      <c r="K115" s="258"/>
      <c r="L115" s="258"/>
      <c r="M115" s="258"/>
      <c r="N115" s="259"/>
      <c r="O115" s="259"/>
      <c r="P115" s="49">
        <f t="shared" si="9"/>
        <v>0</v>
      </c>
      <c r="Q115" s="49">
        <f t="shared" si="9"/>
        <v>0</v>
      </c>
      <c r="R115" s="212">
        <f t="shared" si="10"/>
        <v>79.599999999999994</v>
      </c>
      <c r="S115" s="502"/>
    </row>
    <row r="116" spans="1:19" ht="42.75" customHeight="1" x14ac:dyDescent="0.25">
      <c r="A116" s="504" t="s">
        <v>469</v>
      </c>
      <c r="B116" s="502" t="s">
        <v>470</v>
      </c>
      <c r="C116" s="503" t="s">
        <v>17</v>
      </c>
      <c r="D116" s="257" t="s">
        <v>18</v>
      </c>
      <c r="E116" s="257" t="s">
        <v>316</v>
      </c>
      <c r="F116" s="257" t="s">
        <v>471</v>
      </c>
      <c r="G116" s="62">
        <v>244</v>
      </c>
      <c r="H116" s="49">
        <v>31.4</v>
      </c>
      <c r="I116" s="49"/>
      <c r="J116" s="49"/>
      <c r="K116" s="50"/>
      <c r="L116" s="50"/>
      <c r="M116" s="50"/>
      <c r="N116" s="49"/>
      <c r="O116" s="49"/>
      <c r="P116" s="49">
        <f t="shared" si="9"/>
        <v>0</v>
      </c>
      <c r="Q116" s="49">
        <f t="shared" si="9"/>
        <v>0</v>
      </c>
      <c r="R116" s="212">
        <f t="shared" si="10"/>
        <v>31.4</v>
      </c>
      <c r="S116" s="502" t="s">
        <v>472</v>
      </c>
    </row>
    <row r="117" spans="1:19" ht="25.15" customHeight="1" x14ac:dyDescent="0.25">
      <c r="A117" s="504"/>
      <c r="B117" s="502"/>
      <c r="C117" s="503"/>
      <c r="D117" s="257" t="s">
        <v>18</v>
      </c>
      <c r="E117" s="257" t="s">
        <v>353</v>
      </c>
      <c r="F117" s="257" t="s">
        <v>455</v>
      </c>
      <c r="G117" s="62">
        <v>612</v>
      </c>
      <c r="H117" s="49">
        <v>16</v>
      </c>
      <c r="I117" s="49">
        <v>47.1</v>
      </c>
      <c r="J117" s="49">
        <v>72.5</v>
      </c>
      <c r="K117" s="258"/>
      <c r="L117" s="258"/>
      <c r="M117" s="258"/>
      <c r="N117" s="259"/>
      <c r="O117" s="259"/>
      <c r="P117" s="49">
        <f t="shared" si="9"/>
        <v>0</v>
      </c>
      <c r="Q117" s="49">
        <f t="shared" si="9"/>
        <v>0</v>
      </c>
      <c r="R117" s="212">
        <f t="shared" si="10"/>
        <v>135.6</v>
      </c>
      <c r="S117" s="502"/>
    </row>
    <row r="118" spans="1:19" ht="60.75" hidden="1" customHeight="1" x14ac:dyDescent="0.25">
      <c r="A118" s="490" t="s">
        <v>473</v>
      </c>
      <c r="B118" s="491" t="s">
        <v>474</v>
      </c>
      <c r="C118" s="62" t="s">
        <v>17</v>
      </c>
      <c r="D118" s="257">
        <v>975</v>
      </c>
      <c r="E118" s="257" t="s">
        <v>437</v>
      </c>
      <c r="F118" s="257" t="s">
        <v>15</v>
      </c>
      <c r="G118" s="260" t="s">
        <v>15</v>
      </c>
      <c r="H118" s="261">
        <v>0</v>
      </c>
      <c r="I118" s="261">
        <v>0</v>
      </c>
      <c r="J118" s="261">
        <v>0</v>
      </c>
      <c r="K118" s="50"/>
      <c r="L118" s="50"/>
      <c r="M118" s="50"/>
      <c r="N118" s="49"/>
      <c r="O118" s="49"/>
      <c r="P118" s="49">
        <f t="shared" si="9"/>
        <v>0</v>
      </c>
      <c r="Q118" s="49">
        <f t="shared" si="9"/>
        <v>0</v>
      </c>
      <c r="R118" s="212">
        <f t="shared" si="10"/>
        <v>0</v>
      </c>
      <c r="S118" s="491" t="s">
        <v>475</v>
      </c>
    </row>
    <row r="119" spans="1:19" ht="102.75" hidden="1" customHeight="1" x14ac:dyDescent="0.25">
      <c r="A119" s="490"/>
      <c r="B119" s="491"/>
      <c r="C119" s="62" t="s">
        <v>476</v>
      </c>
      <c r="D119" s="257">
        <v>964</v>
      </c>
      <c r="E119" s="257" t="s">
        <v>437</v>
      </c>
      <c r="F119" s="257" t="s">
        <v>15</v>
      </c>
      <c r="G119" s="262" t="s">
        <v>15</v>
      </c>
      <c r="H119" s="261">
        <v>0</v>
      </c>
      <c r="I119" s="261">
        <v>0</v>
      </c>
      <c r="J119" s="261">
        <v>0</v>
      </c>
      <c r="K119" s="50"/>
      <c r="L119" s="50"/>
      <c r="M119" s="50"/>
      <c r="N119" s="49"/>
      <c r="O119" s="49"/>
      <c r="P119" s="49">
        <f t="shared" si="9"/>
        <v>0</v>
      </c>
      <c r="Q119" s="49">
        <f t="shared" si="9"/>
        <v>0</v>
      </c>
      <c r="R119" s="212">
        <f t="shared" si="10"/>
        <v>0</v>
      </c>
      <c r="S119" s="491"/>
    </row>
    <row r="120" spans="1:19" ht="70.5" hidden="1" customHeight="1" x14ac:dyDescent="0.25">
      <c r="A120" s="490"/>
      <c r="B120" s="491"/>
      <c r="C120" s="62" t="s">
        <v>477</v>
      </c>
      <c r="D120" s="257">
        <v>956</v>
      </c>
      <c r="E120" s="257" t="s">
        <v>478</v>
      </c>
      <c r="F120" s="257" t="s">
        <v>15</v>
      </c>
      <c r="G120" s="262" t="s">
        <v>15</v>
      </c>
      <c r="H120" s="261">
        <v>0</v>
      </c>
      <c r="I120" s="261">
        <v>0</v>
      </c>
      <c r="J120" s="261">
        <v>0</v>
      </c>
      <c r="K120" s="50"/>
      <c r="L120" s="50"/>
      <c r="M120" s="50"/>
      <c r="N120" s="49"/>
      <c r="O120" s="49"/>
      <c r="P120" s="49">
        <f t="shared" si="9"/>
        <v>0</v>
      </c>
      <c r="Q120" s="49">
        <f t="shared" si="9"/>
        <v>0</v>
      </c>
      <c r="R120" s="212">
        <f t="shared" si="10"/>
        <v>0</v>
      </c>
      <c r="S120" s="491"/>
    </row>
    <row r="121" spans="1:19" ht="66" customHeight="1" x14ac:dyDescent="0.25">
      <c r="A121" s="263" t="s">
        <v>473</v>
      </c>
      <c r="B121" s="62" t="s">
        <v>479</v>
      </c>
      <c r="C121" s="62" t="s">
        <v>480</v>
      </c>
      <c r="D121" s="257" t="s">
        <v>18</v>
      </c>
      <c r="E121" s="257" t="s">
        <v>316</v>
      </c>
      <c r="F121" s="257" t="s">
        <v>471</v>
      </c>
      <c r="G121" s="264" t="s">
        <v>481</v>
      </c>
      <c r="H121" s="49">
        <v>114.4</v>
      </c>
      <c r="I121" s="49">
        <v>166.8</v>
      </c>
      <c r="J121" s="49">
        <v>0</v>
      </c>
      <c r="K121" s="258"/>
      <c r="L121" s="258"/>
      <c r="M121" s="258"/>
      <c r="N121" s="259"/>
      <c r="O121" s="259"/>
      <c r="P121" s="49">
        <f t="shared" si="9"/>
        <v>0</v>
      </c>
      <c r="Q121" s="49">
        <f t="shared" si="9"/>
        <v>0</v>
      </c>
      <c r="R121" s="212">
        <f t="shared" si="10"/>
        <v>281.20000000000005</v>
      </c>
      <c r="S121" s="62" t="s">
        <v>482</v>
      </c>
    </row>
    <row r="122" spans="1:19" ht="50.45" customHeight="1" x14ac:dyDescent="0.25">
      <c r="A122" s="263" t="s">
        <v>483</v>
      </c>
      <c r="B122" s="62" t="s">
        <v>484</v>
      </c>
      <c r="C122" s="62" t="s">
        <v>17</v>
      </c>
      <c r="D122" s="257" t="s">
        <v>18</v>
      </c>
      <c r="E122" s="257" t="s">
        <v>353</v>
      </c>
      <c r="F122" s="257" t="s">
        <v>485</v>
      </c>
      <c r="G122" s="265">
        <v>612</v>
      </c>
      <c r="H122" s="49">
        <v>5</v>
      </c>
      <c r="I122" s="49"/>
      <c r="J122" s="50"/>
      <c r="K122" s="50"/>
      <c r="L122" s="49"/>
      <c r="M122" s="50"/>
      <c r="N122" s="49"/>
      <c r="O122" s="49"/>
      <c r="P122" s="49">
        <f t="shared" si="9"/>
        <v>0</v>
      </c>
      <c r="Q122" s="49">
        <f t="shared" si="9"/>
        <v>0</v>
      </c>
      <c r="R122" s="212">
        <f t="shared" si="10"/>
        <v>5</v>
      </c>
      <c r="S122" s="266"/>
    </row>
    <row r="123" spans="1:19" ht="50.45" customHeight="1" x14ac:dyDescent="0.25">
      <c r="A123" s="492" t="s">
        <v>486</v>
      </c>
      <c r="B123" s="495" t="s">
        <v>487</v>
      </c>
      <c r="C123" s="498" t="s">
        <v>488</v>
      </c>
      <c r="D123" s="267" t="s">
        <v>18</v>
      </c>
      <c r="E123" s="267" t="s">
        <v>422</v>
      </c>
      <c r="F123" s="268" t="s">
        <v>489</v>
      </c>
      <c r="G123" s="269">
        <v>611</v>
      </c>
      <c r="H123" s="270"/>
      <c r="I123" s="270"/>
      <c r="J123" s="270"/>
      <c r="K123" s="270"/>
      <c r="L123" s="270"/>
      <c r="M123" s="270"/>
      <c r="N123" s="270">
        <v>4404</v>
      </c>
      <c r="O123" s="270"/>
      <c r="P123" s="270"/>
      <c r="Q123" s="270">
        <f t="shared" si="9"/>
        <v>0</v>
      </c>
      <c r="R123" s="271">
        <f t="shared" si="10"/>
        <v>4404</v>
      </c>
      <c r="S123" s="272"/>
    </row>
    <row r="124" spans="1:19" ht="50.45" customHeight="1" x14ac:dyDescent="0.25">
      <c r="A124" s="493"/>
      <c r="B124" s="496"/>
      <c r="C124" s="499"/>
      <c r="D124" s="267" t="s">
        <v>18</v>
      </c>
      <c r="E124" s="267" t="s">
        <v>422</v>
      </c>
      <c r="F124" s="268" t="s">
        <v>489</v>
      </c>
      <c r="G124" s="269">
        <v>613</v>
      </c>
      <c r="H124" s="270"/>
      <c r="I124" s="270"/>
      <c r="J124" s="270"/>
      <c r="K124" s="270"/>
      <c r="L124" s="270"/>
      <c r="M124" s="270"/>
      <c r="N124" s="270">
        <v>40</v>
      </c>
      <c r="O124" s="270"/>
      <c r="P124" s="270"/>
      <c r="Q124" s="270">
        <f t="shared" si="9"/>
        <v>0</v>
      </c>
      <c r="R124" s="271">
        <f t="shared" si="10"/>
        <v>40</v>
      </c>
      <c r="S124" s="272"/>
    </row>
    <row r="125" spans="1:19" ht="50.45" customHeight="1" x14ac:dyDescent="0.25">
      <c r="A125" s="493"/>
      <c r="B125" s="496"/>
      <c r="C125" s="499"/>
      <c r="D125" s="267" t="s">
        <v>18</v>
      </c>
      <c r="E125" s="267" t="s">
        <v>422</v>
      </c>
      <c r="F125" s="268" t="s">
        <v>489</v>
      </c>
      <c r="G125" s="269">
        <v>623</v>
      </c>
      <c r="H125" s="270"/>
      <c r="I125" s="270"/>
      <c r="J125" s="270"/>
      <c r="K125" s="270"/>
      <c r="L125" s="270"/>
      <c r="M125" s="270"/>
      <c r="N125" s="270">
        <v>40</v>
      </c>
      <c r="O125" s="270"/>
      <c r="P125" s="270"/>
      <c r="Q125" s="270">
        <f t="shared" si="9"/>
        <v>0</v>
      </c>
      <c r="R125" s="271">
        <f t="shared" si="10"/>
        <v>40</v>
      </c>
      <c r="S125" s="272"/>
    </row>
    <row r="126" spans="1:19" ht="50.45" customHeight="1" x14ac:dyDescent="0.25">
      <c r="A126" s="493"/>
      <c r="B126" s="496"/>
      <c r="C126" s="499"/>
      <c r="D126" s="267" t="s">
        <v>18</v>
      </c>
      <c r="E126" s="267" t="s">
        <v>422</v>
      </c>
      <c r="F126" s="268" t="s">
        <v>489</v>
      </c>
      <c r="G126" s="269">
        <v>633</v>
      </c>
      <c r="H126" s="270"/>
      <c r="I126" s="270"/>
      <c r="J126" s="270"/>
      <c r="K126" s="270"/>
      <c r="L126" s="270"/>
      <c r="M126" s="270"/>
      <c r="N126" s="270">
        <f>53.7</f>
        <v>53.7</v>
      </c>
      <c r="O126" s="270"/>
      <c r="P126" s="270"/>
      <c r="Q126" s="270">
        <f t="shared" si="9"/>
        <v>0</v>
      </c>
      <c r="R126" s="271">
        <f t="shared" si="10"/>
        <v>53.7</v>
      </c>
      <c r="S126" s="272"/>
    </row>
    <row r="127" spans="1:19" ht="50.45" customHeight="1" x14ac:dyDescent="0.25">
      <c r="A127" s="493"/>
      <c r="B127" s="496"/>
      <c r="C127" s="500"/>
      <c r="D127" s="267" t="s">
        <v>18</v>
      </c>
      <c r="E127" s="267" t="s">
        <v>422</v>
      </c>
      <c r="F127" s="268" t="s">
        <v>489</v>
      </c>
      <c r="G127" s="269">
        <v>813</v>
      </c>
      <c r="H127" s="270"/>
      <c r="I127" s="270"/>
      <c r="J127" s="270"/>
      <c r="K127" s="270"/>
      <c r="L127" s="270"/>
      <c r="M127" s="270"/>
      <c r="N127" s="270">
        <v>40</v>
      </c>
      <c r="O127" s="270"/>
      <c r="P127" s="270"/>
      <c r="Q127" s="270">
        <f t="shared" si="9"/>
        <v>0</v>
      </c>
      <c r="R127" s="271">
        <f t="shared" si="10"/>
        <v>40</v>
      </c>
      <c r="S127" s="272"/>
    </row>
    <row r="128" spans="1:19" ht="97.9" customHeight="1" x14ac:dyDescent="0.25">
      <c r="A128" s="494"/>
      <c r="B128" s="497"/>
      <c r="C128" s="273" t="s">
        <v>490</v>
      </c>
      <c r="D128" s="267" t="s">
        <v>491</v>
      </c>
      <c r="E128" s="267" t="s">
        <v>422</v>
      </c>
      <c r="F128" s="268" t="s">
        <v>492</v>
      </c>
      <c r="G128" s="269">
        <v>611</v>
      </c>
      <c r="H128" s="270"/>
      <c r="I128" s="270"/>
      <c r="J128" s="270"/>
      <c r="K128" s="270"/>
      <c r="L128" s="270"/>
      <c r="M128" s="270"/>
      <c r="N128" s="270">
        <v>474.9</v>
      </c>
      <c r="O128" s="270"/>
      <c r="P128" s="270"/>
      <c r="Q128" s="270">
        <f t="shared" si="9"/>
        <v>0</v>
      </c>
      <c r="R128" s="271">
        <f t="shared" si="10"/>
        <v>474.9</v>
      </c>
      <c r="S128" s="272"/>
    </row>
    <row r="129" spans="1:19" ht="35.1" customHeight="1" x14ac:dyDescent="0.3">
      <c r="A129" s="488" t="s">
        <v>493</v>
      </c>
      <c r="B129" s="488"/>
      <c r="C129" s="274"/>
      <c r="D129" s="274"/>
      <c r="E129" s="274"/>
      <c r="F129" s="274"/>
      <c r="G129" s="274"/>
      <c r="H129" s="275">
        <f t="shared" ref="H129:M129" si="11">SUM(H101:H122)</f>
        <v>24540.200000000004</v>
      </c>
      <c r="I129" s="275">
        <f t="shared" si="11"/>
        <v>27318.799999999996</v>
      </c>
      <c r="J129" s="276">
        <f t="shared" si="11"/>
        <v>37615.9</v>
      </c>
      <c r="K129" s="276">
        <f t="shared" si="11"/>
        <v>34566.200000000004</v>
      </c>
      <c r="L129" s="276">
        <f t="shared" si="11"/>
        <v>32389.600000000002</v>
      </c>
      <c r="M129" s="276">
        <f t="shared" si="11"/>
        <v>33657</v>
      </c>
      <c r="N129" s="275">
        <f>SUM(N101:N128)</f>
        <v>34343.5</v>
      </c>
      <c r="O129" s="275">
        <f>SUM(O101:O122)</f>
        <v>32208.2</v>
      </c>
      <c r="P129" s="275">
        <f>SUM(P101:P122)</f>
        <v>32208.2</v>
      </c>
      <c r="Q129" s="49">
        <f t="shared" si="9"/>
        <v>32208.2</v>
      </c>
      <c r="R129" s="212">
        <f t="shared" si="10"/>
        <v>321055.80000000005</v>
      </c>
      <c r="S129" s="277"/>
    </row>
    <row r="130" spans="1:19" s="280" customFormat="1" ht="35.1" customHeight="1" x14ac:dyDescent="0.3">
      <c r="A130" s="488" t="s">
        <v>494</v>
      </c>
      <c r="B130" s="488"/>
      <c r="C130" s="278"/>
      <c r="D130" s="278"/>
      <c r="E130" s="278"/>
      <c r="F130" s="278"/>
      <c r="G130" s="278"/>
      <c r="H130" s="276">
        <f t="shared" ref="H130:P130" si="12">H129+H99+H48</f>
        <v>214621.90000000005</v>
      </c>
      <c r="I130" s="276">
        <f t="shared" si="12"/>
        <v>231479.1</v>
      </c>
      <c r="J130" s="276">
        <f t="shared" si="12"/>
        <v>252889.60000000001</v>
      </c>
      <c r="K130" s="276">
        <f t="shared" si="12"/>
        <v>262736.60000000003</v>
      </c>
      <c r="L130" s="276">
        <f t="shared" si="12"/>
        <v>275850</v>
      </c>
      <c r="M130" s="276">
        <f t="shared" si="12"/>
        <v>294091.1999999999</v>
      </c>
      <c r="N130" s="275">
        <f>N129+N99+N48</f>
        <v>294528.8</v>
      </c>
      <c r="O130" s="275">
        <f t="shared" si="12"/>
        <v>289315.90000000002</v>
      </c>
      <c r="P130" s="275">
        <f t="shared" si="12"/>
        <v>281762.8</v>
      </c>
      <c r="Q130" s="49">
        <f t="shared" si="9"/>
        <v>281762.8</v>
      </c>
      <c r="R130" s="212">
        <f t="shared" si="10"/>
        <v>2679038.6999999997</v>
      </c>
      <c r="S130" s="279"/>
    </row>
    <row r="131" spans="1:19" s="280" customFormat="1" ht="35.1" customHeight="1" x14ac:dyDescent="0.3">
      <c r="A131" s="488" t="s">
        <v>321</v>
      </c>
      <c r="B131" s="488"/>
      <c r="C131" s="278"/>
      <c r="D131" s="278"/>
      <c r="E131" s="278"/>
      <c r="F131" s="278"/>
      <c r="G131" s="278"/>
      <c r="H131" s="276">
        <f>H7+H11+H12+H20+H21+H28+H30+H70+H71+H72+H74+H75+H77+H79+H80+H81+H82+H84+H90+H91</f>
        <v>109406.90000000001</v>
      </c>
      <c r="I131" s="276">
        <f>I7+I11+I12+I20+I21+I28+I30+I70+I71+I72+I74+I75+I77+I79+I80+I81+I82+I84+I90+I91</f>
        <v>113565.79999999999</v>
      </c>
      <c r="J131" s="276">
        <f>J7+J11+J12+J20+J21+J26+J27+J28+J30+J70+J71+J72+J74+J75+J77+J79+J80+J81+J82+J84+J90+J91</f>
        <v>149314.1</v>
      </c>
      <c r="K131" s="276">
        <f>K7+K11+K12+K20+K21+K28+K30+K70+K71+K72+K74+K75+K77+K79+K80+K81+K82+K83+K84+K90+K91+K78</f>
        <v>163921.20000000001</v>
      </c>
      <c r="L131" s="276">
        <f>L7+L11+L12+L20+L21+L28+L30+L70+L71+L72+L74+L75+L77+L79+L80+L81+L82+L83+L84+L90+L91+L107+L106+L89+L86+L85+L109+L17</f>
        <v>178896.09999999998</v>
      </c>
      <c r="M131" s="276">
        <f>M7+M11+M12+M20+M21+M28+M30+M70+M71+M72+M74+M75+M77+M79+M80+M81+M82+M83+M84+M90+M91+M73+M76+M106+M15+M17+M112+M107+M85+M86+M87+M88+M111</f>
        <v>189252.89999999994</v>
      </c>
      <c r="N131" s="275">
        <f>N7+N11+N12+N20+N21+N28+N30+N70+N71+N72+N74+N75+N77+N79+N80+N81+N82+N83+N84+N90+N91+N85+N86+N37+N38+N73+N76+N106+N107+N41+N45+N108+N69+N68+N67+N43+N23+N22+N47+N24-12.6+N25</f>
        <v>213450.49999999994</v>
      </c>
      <c r="O131" s="275">
        <f>O7+O11+O12+O20+O21+O28+O30+O70+O71+O72+O74+O75+O77+O79+O80+O81+O82+O83+O84+O90+O91+O85+O86+O37+O38+O73+O76+O106+O107+O41+O45+O108+O69+O68+O67+O43+O23+O22+O33+O34</f>
        <v>212897.90000000002</v>
      </c>
      <c r="P131" s="275">
        <f>P7+P11+P12+P20+P21+P28+P30+P70+P71+P72+P74+P75+P77+P79+P80+P81+P82+P83+P84+P90+P91+P85+P86+P37+P38+P73+P76+P106+P107+P41+P45+P108+P69+P68+P67+P43+P23+P22+P33+P34</f>
        <v>205658.6</v>
      </c>
      <c r="Q131" s="49">
        <f t="shared" si="9"/>
        <v>205658.6</v>
      </c>
      <c r="R131" s="212">
        <f t="shared" si="10"/>
        <v>1742022.6</v>
      </c>
      <c r="S131" s="279"/>
    </row>
    <row r="132" spans="1:19" s="280" customFormat="1" ht="35.1" customHeight="1" x14ac:dyDescent="0.3">
      <c r="A132" s="488" t="s">
        <v>322</v>
      </c>
      <c r="B132" s="488"/>
      <c r="C132" s="278"/>
      <c r="D132" s="278"/>
      <c r="E132" s="278"/>
      <c r="F132" s="278"/>
      <c r="G132" s="278"/>
      <c r="H132" s="276">
        <f>H8+H9+H13+H14+H29+H31+H32+H50+H51+H52+H53+H54+H55+H56+H57+H58+H59+H60+H61+H62+H63+H64+H65+H66+H97+H101+H102+H103+H104+H105+H121+H122+H115+H116+H117+H114</f>
        <v>103390.39999999999</v>
      </c>
      <c r="I132" s="276">
        <f>I8+I9+I13+I14+I29+I31+I32+I50+I51+I52+I53+I54+I55+I56+I57+I58+I59+I60+I61+I62+I63+I64+I65+I66+I97+I101+I102+I103+I104+I105+I121+I122+I115+I116+I117+I114</f>
        <v>115762.00000000001</v>
      </c>
      <c r="J132" s="276">
        <f>J8+J9+J13+J14+J29+J31+J32+J50+J51+J52+J53+J54+J55+J56+J57+J58+J59+J60+J61+J62+J63+J64+J65+J66+J97+J101+J102+J103+J104+J105+J121+J122+J115+J116+J117+J114</f>
        <v>101282.7</v>
      </c>
      <c r="K132" s="276">
        <f>K8+K9+K13+K14+K29+K31+K32+K50+K51+K52+K53+K54+K55+K56+K57+K58+K59+K60+K61+K62+K63+K64+K65+K66+K97+K101+K102+K103+K104+K105+K121+K122+K115+K116+K117+K114+K95</f>
        <v>96522.60000000002</v>
      </c>
      <c r="L132" s="276">
        <f>L8+L9+L13+L14+L29+L31+L32+L50+L51+L52+L53+L54+L55+L56+L57+L58+L59+L60+L61+L62+L63+L64+L65+L66+L97+L101+L102+L103+L104+L105+L121+L122+L115+L116+L117+L114+L95+L18+L110+L10</f>
        <v>93843.599999999991</v>
      </c>
      <c r="M132" s="276">
        <f>M8+M9+M13+M14+M29+M31+M32+M50+M51+M52+M53+M54+M55+M56+M57+M58+M59+M60+M61+M62+M63+M64+M65+M66+M97+M101+M102+M103+M104+M105+M121+M122+M115+M116+M117+M114+M95+M16+M18+M19</f>
        <v>99156.3</v>
      </c>
      <c r="N132" s="275">
        <f>N8+N9+N13+N14+N29+N31+N32+N50+N51+N52+N53+N54+N55+N56+N57+N58+N59+N60+N61+N62+N63+N64+N65+N66+N97+N101+N102+N103+N104+N105+N121+N122+N115+N116+N117+N114+N95+N39+N40+N42+N44+N46+N123+N124+N125+N126+N127+N128+12.6</f>
        <v>74349.39999999998</v>
      </c>
      <c r="O132" s="275">
        <f>O8+O9+O13+O14+O29+O31+O32+O50+O51+O52+O53+O54+O55+O56+O57+O58+O59+O60+O61+O62+O63+O64+O65+O66+O97+O101+O102+O103+O104+O105+O121+O122+O115+O116+O117+O114+O95+O39+O40+O42+O44+O46+O35+O36</f>
        <v>72979</v>
      </c>
      <c r="P132" s="275">
        <f>P8+P9+P13+P14+P29+P31+P32+P50+P51+P52+P53+P54+P55+P56+P57+P58+P59+P60+P61+P62+P63+P64+P65+P66+P97+P101+P102+P103+P104+P105+P121+P122+P115+P116+P117+P114+P95+P39+P40+P42+P44+P46+P35</f>
        <v>72665.2</v>
      </c>
      <c r="Q132" s="49">
        <f t="shared" si="9"/>
        <v>72665.2</v>
      </c>
      <c r="R132" s="212">
        <f t="shared" si="10"/>
        <v>902616.4</v>
      </c>
      <c r="S132" s="279"/>
    </row>
    <row r="133" spans="1:19" s="280" customFormat="1" ht="25.15" customHeight="1" x14ac:dyDescent="0.3">
      <c r="A133" s="488" t="s">
        <v>323</v>
      </c>
      <c r="B133" s="488"/>
      <c r="C133" s="281"/>
      <c r="D133" s="278"/>
      <c r="E133" s="278"/>
      <c r="F133" s="278"/>
      <c r="G133" s="278"/>
      <c r="H133" s="275">
        <f t="shared" ref="H133:M133" si="13">H92+H113</f>
        <v>1824.6</v>
      </c>
      <c r="I133" s="275">
        <f t="shared" si="13"/>
        <v>2151.3000000000002</v>
      </c>
      <c r="J133" s="276">
        <f t="shared" si="13"/>
        <v>2292.8000000000002</v>
      </c>
      <c r="K133" s="276">
        <f>K92+K113</f>
        <v>2292.8000000000002</v>
      </c>
      <c r="L133" s="276">
        <f>L92+L113</f>
        <v>3110.3</v>
      </c>
      <c r="M133" s="276">
        <f t="shared" si="13"/>
        <v>5682</v>
      </c>
      <c r="N133" s="275">
        <f>N92+N113</f>
        <v>6728.9</v>
      </c>
      <c r="O133" s="275">
        <f>O92+O113</f>
        <v>3439</v>
      </c>
      <c r="P133" s="49">
        <f t="shared" si="9"/>
        <v>3439</v>
      </c>
      <c r="Q133" s="49">
        <f t="shared" si="9"/>
        <v>3439</v>
      </c>
      <c r="R133" s="212">
        <f t="shared" si="10"/>
        <v>34399.699999999997</v>
      </c>
      <c r="S133" s="279"/>
    </row>
    <row r="134" spans="1:19" ht="26.45" customHeight="1" x14ac:dyDescent="0.3">
      <c r="A134" s="489" t="s">
        <v>495</v>
      </c>
      <c r="B134" s="489"/>
      <c r="C134" s="489"/>
      <c r="D134" s="282"/>
      <c r="E134" s="282"/>
      <c r="F134" s="282"/>
      <c r="G134" s="282"/>
      <c r="H134" s="283"/>
      <c r="I134" s="283"/>
      <c r="J134" s="283"/>
      <c r="K134" s="283"/>
      <c r="L134" s="283"/>
      <c r="M134" s="283"/>
      <c r="N134" s="284"/>
      <c r="O134" s="284"/>
      <c r="P134" s="284"/>
      <c r="Q134" s="284"/>
      <c r="R134" s="283"/>
      <c r="S134" s="285" t="s">
        <v>34</v>
      </c>
    </row>
    <row r="135" spans="1:19" ht="59.25" customHeight="1" x14ac:dyDescent="0.25">
      <c r="A135" s="189"/>
      <c r="B135" s="286"/>
      <c r="C135" s="191"/>
      <c r="D135" s="191"/>
      <c r="E135" s="191"/>
      <c r="F135" s="191"/>
      <c r="G135" s="191"/>
      <c r="H135" s="191"/>
    </row>
    <row r="136" spans="1:19" s="98" customFormat="1" ht="24.75" customHeight="1" x14ac:dyDescent="0.25">
      <c r="A136" s="189"/>
      <c r="B136" s="286"/>
      <c r="C136" s="191"/>
      <c r="D136" s="191"/>
      <c r="E136" s="191"/>
      <c r="F136" s="191"/>
      <c r="G136" s="191"/>
      <c r="H136" s="191"/>
      <c r="I136" s="36"/>
      <c r="J136" s="36"/>
      <c r="K136" s="36"/>
      <c r="L136" s="36"/>
      <c r="M136" s="36"/>
      <c r="N136" s="58"/>
      <c r="O136" s="58"/>
      <c r="P136" s="58"/>
      <c r="Q136" s="58"/>
      <c r="R136" s="36"/>
      <c r="S136" s="36"/>
    </row>
    <row r="137" spans="1:19" ht="20.25" customHeight="1" x14ac:dyDescent="0.25">
      <c r="A137" s="189"/>
      <c r="B137" s="286"/>
      <c r="C137" s="191"/>
      <c r="D137" s="191"/>
      <c r="E137" s="191"/>
      <c r="F137" s="191"/>
      <c r="G137" s="191"/>
      <c r="H137" s="191"/>
    </row>
    <row r="138" spans="1:19" s="184" customFormat="1" x14ac:dyDescent="0.25">
      <c r="A138" s="189"/>
      <c r="B138" s="286"/>
      <c r="C138" s="191"/>
      <c r="D138" s="191"/>
      <c r="E138" s="191"/>
      <c r="F138" s="191"/>
      <c r="G138" s="191"/>
      <c r="H138" s="191"/>
      <c r="I138" s="36"/>
      <c r="J138" s="36"/>
      <c r="K138" s="36"/>
      <c r="L138" s="36"/>
      <c r="M138" s="36"/>
      <c r="N138" s="58"/>
      <c r="O138" s="58"/>
      <c r="P138" s="58"/>
      <c r="Q138" s="58"/>
      <c r="R138" s="36"/>
      <c r="S138" s="36"/>
    </row>
    <row r="139" spans="1:19" s="135" customFormat="1" x14ac:dyDescent="0.25">
      <c r="A139" s="189"/>
      <c r="B139" s="286"/>
      <c r="C139" s="191"/>
      <c r="D139" s="191"/>
      <c r="E139" s="191"/>
      <c r="F139" s="191"/>
      <c r="G139" s="191"/>
      <c r="H139" s="191"/>
      <c r="I139" s="36"/>
      <c r="J139" s="36"/>
      <c r="K139" s="36"/>
      <c r="L139" s="36"/>
      <c r="M139" s="36"/>
      <c r="N139" s="58"/>
      <c r="O139" s="58"/>
      <c r="P139" s="58"/>
      <c r="Q139" s="58"/>
      <c r="R139" s="36"/>
      <c r="S139" s="36"/>
    </row>
    <row r="140" spans="1:19" x14ac:dyDescent="0.25">
      <c r="A140" s="189"/>
      <c r="B140" s="286"/>
      <c r="C140" s="191"/>
      <c r="D140" s="191"/>
      <c r="E140" s="191"/>
      <c r="F140" s="191"/>
      <c r="G140" s="191"/>
      <c r="H140" s="191"/>
    </row>
    <row r="141" spans="1:19" x14ac:dyDescent="0.25">
      <c r="A141" s="189"/>
      <c r="B141" s="286"/>
      <c r="C141" s="191"/>
      <c r="D141" s="191"/>
      <c r="E141" s="191"/>
      <c r="F141" s="191"/>
      <c r="G141" s="191"/>
      <c r="H141" s="191"/>
    </row>
    <row r="142" spans="1:19" x14ac:dyDescent="0.25">
      <c r="A142" s="189"/>
      <c r="B142" s="286"/>
      <c r="C142" s="191"/>
      <c r="D142" s="191"/>
      <c r="E142" s="191"/>
      <c r="F142" s="191"/>
      <c r="G142" s="191"/>
      <c r="H142" s="191"/>
    </row>
    <row r="143" spans="1:19" x14ac:dyDescent="0.25">
      <c r="A143" s="189"/>
      <c r="B143" s="286"/>
      <c r="C143" s="191"/>
      <c r="D143" s="191"/>
      <c r="E143" s="191"/>
      <c r="F143" s="191"/>
      <c r="G143" s="191"/>
      <c r="H143" s="191"/>
    </row>
    <row r="144" spans="1:19" x14ac:dyDescent="0.25">
      <c r="A144" s="189"/>
      <c r="B144" s="286"/>
      <c r="C144" s="191"/>
      <c r="D144" s="191"/>
      <c r="E144" s="191"/>
      <c r="F144" s="191"/>
      <c r="G144" s="191"/>
      <c r="H144" s="191"/>
    </row>
    <row r="145" spans="1:8" x14ac:dyDescent="0.25">
      <c r="A145" s="189"/>
      <c r="B145" s="286"/>
      <c r="C145" s="191"/>
      <c r="D145" s="191"/>
      <c r="E145" s="191"/>
      <c r="F145" s="191"/>
      <c r="G145" s="191"/>
      <c r="H145" s="191"/>
    </row>
    <row r="146" spans="1:8" x14ac:dyDescent="0.25">
      <c r="A146" s="189"/>
      <c r="B146" s="286"/>
      <c r="C146" s="191"/>
      <c r="D146" s="191"/>
      <c r="E146" s="191"/>
      <c r="F146" s="191"/>
      <c r="G146" s="191"/>
      <c r="H146" s="191"/>
    </row>
    <row r="147" spans="1:8" x14ac:dyDescent="0.25">
      <c r="A147" s="189"/>
      <c r="B147" s="286"/>
      <c r="C147" s="191"/>
      <c r="D147" s="191"/>
      <c r="E147" s="191"/>
      <c r="F147" s="191"/>
      <c r="G147" s="191"/>
      <c r="H147" s="191"/>
    </row>
    <row r="148" spans="1:8" x14ac:dyDescent="0.25">
      <c r="A148" s="189"/>
      <c r="B148" s="286"/>
      <c r="C148" s="191"/>
      <c r="D148" s="191"/>
      <c r="E148" s="191"/>
      <c r="F148" s="191"/>
      <c r="G148" s="191"/>
      <c r="H148" s="191"/>
    </row>
    <row r="149" spans="1:8" x14ac:dyDescent="0.25">
      <c r="A149" s="189"/>
      <c r="B149" s="286"/>
      <c r="C149" s="191"/>
      <c r="D149" s="191"/>
      <c r="E149" s="191"/>
      <c r="F149" s="191"/>
      <c r="G149" s="191"/>
      <c r="H149" s="191"/>
    </row>
    <row r="150" spans="1:8" x14ac:dyDescent="0.25">
      <c r="A150" s="189"/>
      <c r="B150" s="286"/>
      <c r="C150" s="191"/>
      <c r="D150" s="191"/>
      <c r="E150" s="191"/>
      <c r="F150" s="191"/>
      <c r="G150" s="191"/>
      <c r="H150" s="191"/>
    </row>
    <row r="151" spans="1:8" x14ac:dyDescent="0.25">
      <c r="A151" s="189"/>
      <c r="B151" s="286"/>
      <c r="C151" s="191"/>
      <c r="D151" s="191"/>
      <c r="E151" s="191"/>
      <c r="F151" s="191"/>
      <c r="G151" s="191"/>
      <c r="H151" s="191"/>
    </row>
    <row r="152" spans="1:8" x14ac:dyDescent="0.25">
      <c r="A152" s="189"/>
      <c r="B152" s="286"/>
      <c r="C152" s="191"/>
      <c r="D152" s="191"/>
      <c r="E152" s="191"/>
      <c r="F152" s="191"/>
      <c r="G152" s="191"/>
      <c r="H152" s="191"/>
    </row>
    <row r="153" spans="1:8" x14ac:dyDescent="0.25">
      <c r="A153" s="189"/>
      <c r="B153" s="286"/>
      <c r="C153" s="191"/>
      <c r="D153" s="191"/>
      <c r="E153" s="191"/>
      <c r="F153" s="191"/>
      <c r="G153" s="191"/>
      <c r="H153" s="191"/>
    </row>
    <row r="154" spans="1:8" x14ac:dyDescent="0.25">
      <c r="A154" s="189"/>
      <c r="B154" s="286"/>
      <c r="C154" s="191"/>
      <c r="D154" s="191"/>
      <c r="E154" s="191"/>
      <c r="F154" s="191"/>
      <c r="G154" s="191"/>
      <c r="H154" s="191"/>
    </row>
    <row r="155" spans="1:8" x14ac:dyDescent="0.25">
      <c r="A155" s="189"/>
      <c r="B155" s="286"/>
      <c r="C155" s="191"/>
      <c r="D155" s="191"/>
      <c r="E155" s="191"/>
      <c r="F155" s="191"/>
      <c r="G155" s="191"/>
      <c r="H155" s="191"/>
    </row>
    <row r="156" spans="1:8" x14ac:dyDescent="0.25">
      <c r="A156" s="189"/>
      <c r="B156" s="286"/>
      <c r="C156" s="191"/>
      <c r="D156" s="191"/>
      <c r="E156" s="191"/>
      <c r="F156" s="191"/>
      <c r="G156" s="191"/>
      <c r="H156" s="191"/>
    </row>
    <row r="157" spans="1:8" x14ac:dyDescent="0.25">
      <c r="A157" s="189"/>
      <c r="B157" s="286"/>
      <c r="C157" s="191"/>
      <c r="D157" s="191"/>
      <c r="E157" s="191"/>
      <c r="F157" s="191"/>
      <c r="G157" s="191"/>
      <c r="H157" s="191"/>
    </row>
    <row r="158" spans="1:8" x14ac:dyDescent="0.25">
      <c r="A158" s="189"/>
      <c r="B158" s="286"/>
      <c r="C158" s="191"/>
      <c r="D158" s="191"/>
      <c r="E158" s="191"/>
      <c r="F158" s="191"/>
      <c r="G158" s="191"/>
      <c r="H158" s="191"/>
    </row>
    <row r="159" spans="1:8" x14ac:dyDescent="0.25">
      <c r="A159" s="189"/>
      <c r="B159" s="286"/>
      <c r="C159" s="191"/>
      <c r="D159" s="191"/>
      <c r="E159" s="191"/>
      <c r="F159" s="191"/>
      <c r="G159" s="191"/>
      <c r="H159" s="191"/>
    </row>
    <row r="160" spans="1:8" x14ac:dyDescent="0.25">
      <c r="A160" s="189"/>
      <c r="B160" s="286"/>
      <c r="C160" s="191"/>
      <c r="D160" s="191"/>
      <c r="E160" s="191"/>
      <c r="F160" s="191"/>
      <c r="G160" s="191"/>
      <c r="H160" s="191"/>
    </row>
    <row r="161" spans="1:8" x14ac:dyDescent="0.25">
      <c r="A161" s="189"/>
      <c r="B161" s="286"/>
      <c r="C161" s="191"/>
      <c r="D161" s="191"/>
      <c r="E161" s="191"/>
      <c r="F161" s="191"/>
      <c r="G161" s="191"/>
      <c r="H161" s="191"/>
    </row>
    <row r="162" spans="1:8" x14ac:dyDescent="0.25">
      <c r="A162" s="189"/>
      <c r="B162" s="286"/>
      <c r="C162" s="191"/>
      <c r="D162" s="191"/>
      <c r="E162" s="191"/>
      <c r="F162" s="191"/>
      <c r="G162" s="191"/>
      <c r="H162" s="191"/>
    </row>
    <row r="163" spans="1:8" x14ac:dyDescent="0.25">
      <c r="A163" s="189"/>
      <c r="B163" s="286"/>
      <c r="C163" s="191"/>
      <c r="D163" s="191"/>
      <c r="E163" s="191"/>
      <c r="F163" s="191"/>
      <c r="G163" s="191"/>
      <c r="H163" s="191"/>
    </row>
    <row r="164" spans="1:8" x14ac:dyDescent="0.25">
      <c r="A164" s="189"/>
      <c r="B164" s="286"/>
      <c r="C164" s="191"/>
      <c r="D164" s="191"/>
      <c r="E164" s="191"/>
      <c r="F164" s="191"/>
      <c r="G164" s="191"/>
      <c r="H164" s="191"/>
    </row>
    <row r="165" spans="1:8" x14ac:dyDescent="0.25">
      <c r="A165" s="189"/>
      <c r="B165" s="286"/>
      <c r="C165" s="191"/>
      <c r="D165" s="191"/>
      <c r="E165" s="191"/>
      <c r="F165" s="191"/>
      <c r="G165" s="191"/>
      <c r="H165" s="191"/>
    </row>
    <row r="166" spans="1:8" x14ac:dyDescent="0.25">
      <c r="A166" s="189"/>
      <c r="B166" s="286"/>
      <c r="C166" s="191"/>
      <c r="D166" s="191"/>
      <c r="E166" s="191"/>
      <c r="F166" s="191"/>
      <c r="G166" s="191"/>
      <c r="H166" s="191"/>
    </row>
    <row r="167" spans="1:8" x14ac:dyDescent="0.25">
      <c r="A167" s="189"/>
      <c r="B167" s="286"/>
      <c r="C167" s="191"/>
      <c r="D167" s="191"/>
      <c r="E167" s="191"/>
      <c r="F167" s="191"/>
      <c r="G167" s="191"/>
      <c r="H167" s="191"/>
    </row>
    <row r="168" spans="1:8" x14ac:dyDescent="0.25">
      <c r="A168" s="189"/>
      <c r="B168" s="286"/>
      <c r="C168" s="191"/>
      <c r="D168" s="191"/>
      <c r="E168" s="191"/>
      <c r="F168" s="191"/>
      <c r="G168" s="191"/>
      <c r="H168" s="191"/>
    </row>
    <row r="169" spans="1:8" x14ac:dyDescent="0.25">
      <c r="A169" s="189"/>
      <c r="B169" s="286"/>
      <c r="C169" s="191"/>
      <c r="D169" s="191"/>
      <c r="E169" s="191"/>
      <c r="F169" s="191"/>
      <c r="G169" s="191"/>
      <c r="H169" s="191"/>
    </row>
    <row r="170" spans="1:8" x14ac:dyDescent="0.25">
      <c r="A170" s="189"/>
      <c r="B170" s="286"/>
      <c r="C170" s="191"/>
      <c r="D170" s="191"/>
      <c r="E170" s="191"/>
      <c r="F170" s="191"/>
      <c r="G170" s="191"/>
      <c r="H170" s="191"/>
    </row>
    <row r="171" spans="1:8" x14ac:dyDescent="0.25">
      <c r="A171" s="189"/>
      <c r="B171" s="286"/>
      <c r="C171" s="191"/>
      <c r="D171" s="191"/>
      <c r="E171" s="191"/>
      <c r="F171" s="191"/>
      <c r="G171" s="191"/>
      <c r="H171" s="191"/>
    </row>
  </sheetData>
  <mergeCells count="78">
    <mergeCell ref="I1:J1"/>
    <mergeCell ref="O1:S1"/>
    <mergeCell ref="A2:R2"/>
    <mergeCell ref="A3:A4"/>
    <mergeCell ref="B3:B4"/>
    <mergeCell ref="C3:C4"/>
    <mergeCell ref="D3:G3"/>
    <mergeCell ref="H3:R3"/>
    <mergeCell ref="S3:S4"/>
    <mergeCell ref="A5:S5"/>
    <mergeCell ref="A6:S6"/>
    <mergeCell ref="A8:A14"/>
    <mergeCell ref="B8:B19"/>
    <mergeCell ref="C8:C19"/>
    <mergeCell ref="S8:S19"/>
    <mergeCell ref="A33:A34"/>
    <mergeCell ref="B33:B34"/>
    <mergeCell ref="C33:C34"/>
    <mergeCell ref="S33:S34"/>
    <mergeCell ref="A20:A27"/>
    <mergeCell ref="B20:B21"/>
    <mergeCell ref="C20:C27"/>
    <mergeCell ref="S20:S27"/>
    <mergeCell ref="B22:B24"/>
    <mergeCell ref="B26:B27"/>
    <mergeCell ref="S28:S29"/>
    <mergeCell ref="S30:S32"/>
    <mergeCell ref="A31:A32"/>
    <mergeCell ref="B31:B32"/>
    <mergeCell ref="C31:C32"/>
    <mergeCell ref="A35:A36"/>
    <mergeCell ref="B35:B36"/>
    <mergeCell ref="C35:C36"/>
    <mergeCell ref="A37:A38"/>
    <mergeCell ref="B37:B38"/>
    <mergeCell ref="C37:C38"/>
    <mergeCell ref="S37:S38"/>
    <mergeCell ref="A39:A40"/>
    <mergeCell ref="B39:B40"/>
    <mergeCell ref="C39:C40"/>
    <mergeCell ref="A41:A42"/>
    <mergeCell ref="C41:C42"/>
    <mergeCell ref="S101:S113"/>
    <mergeCell ref="A43:A44"/>
    <mergeCell ref="A48:B48"/>
    <mergeCell ref="A49:S49"/>
    <mergeCell ref="A50:A66"/>
    <mergeCell ref="B50:B66"/>
    <mergeCell ref="C50:C66"/>
    <mergeCell ref="S50:S92"/>
    <mergeCell ref="B67:B69"/>
    <mergeCell ref="A70:A91"/>
    <mergeCell ref="B70:B91"/>
    <mergeCell ref="C70:C91"/>
    <mergeCell ref="A99:B99"/>
    <mergeCell ref="A101:A113"/>
    <mergeCell ref="B101:B112"/>
    <mergeCell ref="C101:C113"/>
    <mergeCell ref="A114:A115"/>
    <mergeCell ref="B114:B115"/>
    <mergeCell ref="C114:C115"/>
    <mergeCell ref="S114:S115"/>
    <mergeCell ref="A116:A117"/>
    <mergeCell ref="B116:B117"/>
    <mergeCell ref="C116:C117"/>
    <mergeCell ref="S116:S117"/>
    <mergeCell ref="A134:C134"/>
    <mergeCell ref="A118:A120"/>
    <mergeCell ref="B118:B120"/>
    <mergeCell ref="S118:S120"/>
    <mergeCell ref="A123:A128"/>
    <mergeCell ref="B123:B128"/>
    <mergeCell ref="C123:C127"/>
    <mergeCell ref="A129:B129"/>
    <mergeCell ref="A130:B130"/>
    <mergeCell ref="A131:B131"/>
    <mergeCell ref="A132:B132"/>
    <mergeCell ref="A133:B133"/>
  </mergeCells>
  <pageMargins left="0.51181102362204722" right="0.39370078740157483" top="0.55118110236220474" bottom="0.35433070866141736" header="0.31496062992125984" footer="0.31496062992125984"/>
  <pageSetup paperSize="9" scale="40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МП</vt:lpstr>
      <vt:lpstr>Прил2 к МП</vt:lpstr>
      <vt:lpstr>Прил3 к МП</vt:lpstr>
      <vt:lpstr>Прил1 к пасп МП</vt:lpstr>
      <vt:lpstr>Прил2 к пасп МП</vt:lpstr>
      <vt:lpstr>Прил1 пасп подпр1</vt:lpstr>
      <vt:lpstr>Прил2 к пасп подпр1</vt:lpstr>
      <vt:lpstr>Прил1 к пасп подпр2</vt:lpstr>
      <vt:lpstr>прил2 к пасп подпр2</vt:lpstr>
      <vt:lpstr>Прил1 к пасп подпр3</vt:lpstr>
      <vt:lpstr>Прил2 к пасп подпр3</vt:lpstr>
      <vt:lpstr>Прил1 к пасп подпр4</vt:lpstr>
      <vt:lpstr>Прил2 к пасп подпр4</vt:lpstr>
      <vt:lpstr>'Прил1 к пасп МП'!Заголовки_для_печати</vt:lpstr>
      <vt:lpstr>'Прил1 к пасп подпр2'!Заголовки_для_печати</vt:lpstr>
      <vt:lpstr>'Прил1 пасп подпр1'!Заголовки_для_печати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'Прил3 к МП'!Заголовки_для_печати</vt:lpstr>
      <vt:lpstr>'Прил1 к пасп МП'!Область_печати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'Прил1 пасп подпр1'!Область_печати</vt:lpstr>
      <vt:lpstr>'Прил2 к МП'!Область_печати</vt:lpstr>
      <vt:lpstr>'Прил2 к пасп МП'!Область_печати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2020-09-23T03:52:06Z</dcterms:created>
  <dcterms:modified xsi:type="dcterms:W3CDTF">2020-09-23T08:00:17Z</dcterms:modified>
</cp:coreProperties>
</file>