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1-07-08 изм МП ГС 26.05\"/>
    </mc:Choice>
  </mc:AlternateContent>
  <bookViews>
    <workbookView xWindow="0" yWindow="0" windowWidth="28800" windowHeight="12330"/>
  </bookViews>
  <sheets>
    <sheet name="Прил1 к пасп МП" sheetId="1" r:id="rId1"/>
    <sheet name="Прил2 к пасп МП" sheetId="2" r:id="rId2"/>
    <sheet name="Прил1 к МП" sheetId="3" r:id="rId3"/>
    <sheet name="Прил2 к МП" sheetId="4" r:id="rId4"/>
    <sheet name="Прил3 к МП" sheetId="5" r:id="rId5"/>
    <sheet name="Прил1 подпр1" sheetId="6" r:id="rId6"/>
    <sheet name="Прил2 подпр1" sheetId="7" r:id="rId7"/>
    <sheet name="Прил1 подпр2" sheetId="8" r:id="rId8"/>
    <sheet name="Прил2 подпр2" sheetId="9" r:id="rId9"/>
    <sheet name="Прил1 подпр3" sheetId="11" r:id="rId10"/>
    <sheet name="Прил2 подпр3" sheetId="10" r:id="rId11"/>
    <sheet name="Прил1 подпр4" sheetId="12" r:id="rId12"/>
    <sheet name="Прил2 подпр 4" sheetId="13" r:id="rId13"/>
  </sheets>
  <externalReferences>
    <externalReference r:id="rId14"/>
    <externalReference r:id="rId15"/>
  </externalReferences>
  <definedNames>
    <definedName name="_xlnm._FilterDatabase" localSheetId="6" hidden="1">'Прил2 подпр1'!$A$4:$S$62</definedName>
    <definedName name="_xlnm._FilterDatabase" localSheetId="8" hidden="1">'Прил2 подпр2'!$A$1:$V$152</definedName>
    <definedName name="_xlnm._FilterDatabase" localSheetId="10" hidden="1">'Прил2 подпр3'!$A$4:$T$35</definedName>
    <definedName name="Z_2166B299_1DBB_4BE8_98C9_E9EFB21DCA26_.wvu.FilterData" localSheetId="6" hidden="1">'Прил2 подпр1'!$A$4:$S$62</definedName>
    <definedName name="Z_2166B299_1DBB_4BE8_98C9_E9EFB21DCA26_.wvu.FilterData" localSheetId="8" hidden="1">'Прил2 подпр2'!$A$4:$V$152</definedName>
    <definedName name="Z_2166B299_1DBB_4BE8_98C9_E9EFB21DCA26_.wvu.FilterData" localSheetId="10" hidden="1">'Прил2 подпр3'!$A$4:$T$35</definedName>
    <definedName name="Z_2715DACA_7FC2_4162_875B_92B3FB82D8B1_.wvu.FilterData" localSheetId="6" hidden="1">'Прил2 подпр1'!$A$4:$S$62</definedName>
    <definedName name="Z_2715DACA_7FC2_4162_875B_92B3FB82D8B1_.wvu.FilterData" localSheetId="8" hidden="1">'Прил2 подпр2'!$A$4:$V$152</definedName>
    <definedName name="Z_2715DACA_7FC2_4162_875B_92B3FB82D8B1_.wvu.FilterData" localSheetId="10" hidden="1">'Прил2 подпр3'!$A$4:$T$35</definedName>
    <definedName name="Z_29BFB567_1C85_481C_A8AF_8210D8E0792F_.wvu.FilterData" localSheetId="6" hidden="1">'Прил2 подпр1'!$A$4:$S$62</definedName>
    <definedName name="Z_29BFB567_1C85_481C_A8AF_8210D8E0792F_.wvu.FilterData" localSheetId="8" hidden="1">'Прил2 подпр2'!$A$4:$V$152</definedName>
    <definedName name="Z_29BFB567_1C85_481C_A8AF_8210D8E0792F_.wvu.FilterData" localSheetId="10" hidden="1">'Прил2 подпр3'!$A$4:$T$35</definedName>
    <definedName name="Z_4767DD30_F6FB_4FF0_A429_8866A8232500_.wvu.Cols" localSheetId="0" hidden="1">'Прил1 к пасп МП'!$F:$F</definedName>
    <definedName name="Z_4767DD30_F6FB_4FF0_A429_8866A8232500_.wvu.Cols" localSheetId="5" hidden="1">'Прил1 подпр1'!$D:$D</definedName>
    <definedName name="Z_4767DD30_F6FB_4FF0_A429_8866A8232500_.wvu.Cols" localSheetId="7" hidden="1">'Прил1 подпр2'!$D:$D</definedName>
    <definedName name="Z_4767DD30_F6FB_4FF0_A429_8866A8232500_.wvu.Cols" localSheetId="9" hidden="1">'Прил1 подпр3'!$C:$C</definedName>
    <definedName name="Z_4767DD30_F6FB_4FF0_A429_8866A8232500_.wvu.Cols" localSheetId="1" hidden="1">'Прил2 к пасп МП'!$D:$E</definedName>
    <definedName name="Z_4767DD30_F6FB_4FF0_A429_8866A8232500_.wvu.FilterData" localSheetId="6" hidden="1">'Прил2 подпр1'!$A$4:$S$62</definedName>
    <definedName name="Z_4767DD30_F6FB_4FF0_A429_8866A8232500_.wvu.FilterData" localSheetId="8" hidden="1">'Прил2 подпр2'!$A$4:$V$152</definedName>
    <definedName name="Z_4767DD30_F6FB_4FF0_A429_8866A8232500_.wvu.FilterData" localSheetId="10" hidden="1">'Прил2 подпр3'!$A$4:$T$35</definedName>
    <definedName name="Z_4767DD30_F6FB_4FF0_A429_8866A8232500_.wvu.PrintArea" localSheetId="0" hidden="1">'Прил1 к пасп МП'!$A$1:$M$76</definedName>
    <definedName name="Z_4767DD30_F6FB_4FF0_A429_8866A8232500_.wvu.PrintArea" localSheetId="5" hidden="1">'Прил1 подпр1'!$A$1:$J$13</definedName>
    <definedName name="Z_4767DD30_F6FB_4FF0_A429_8866A8232500_.wvu.PrintArea" localSheetId="7" hidden="1">'Прил1 подпр2'!$A$1:$J$33</definedName>
    <definedName name="Z_4767DD30_F6FB_4FF0_A429_8866A8232500_.wvu.PrintArea" localSheetId="9" hidden="1">'Прил1 подпр3'!$A$1:$H$4</definedName>
    <definedName name="Z_4767DD30_F6FB_4FF0_A429_8866A8232500_.wvu.PrintArea" localSheetId="11" hidden="1">'Прил1 подпр4'!$A$1:$K$33</definedName>
    <definedName name="Z_4767DD30_F6FB_4FF0_A429_8866A8232500_.wvu.PrintArea" localSheetId="3" hidden="1">'Прил2 к МП'!$A$1:$N$33</definedName>
    <definedName name="Z_4767DD30_F6FB_4FF0_A429_8866A8232500_.wvu.PrintArea" localSheetId="1" hidden="1">'Прил2 к пасп МП'!$A$1:$Q$10</definedName>
    <definedName name="Z_4767DD30_F6FB_4FF0_A429_8866A8232500_.wvu.PrintArea" localSheetId="12" hidden="1">'Прил2 подпр 4'!$A$1:$S$63</definedName>
    <definedName name="Z_4767DD30_F6FB_4FF0_A429_8866A8232500_.wvu.PrintArea" localSheetId="6" hidden="1">'Прил2 подпр1'!$A$1:$S$68</definedName>
    <definedName name="Z_4767DD30_F6FB_4FF0_A429_8866A8232500_.wvu.PrintArea" localSheetId="8" hidden="1">'Прил2 подпр2'!$A$1:$S$149</definedName>
    <definedName name="Z_4767DD30_F6FB_4FF0_A429_8866A8232500_.wvu.PrintArea" localSheetId="10" hidden="1">'Прил2 подпр3'!$A$1:$S$40</definedName>
    <definedName name="Z_4767DD30_F6FB_4FF0_A429_8866A8232500_.wvu.PrintArea" localSheetId="4" hidden="1">'Прил3 к МП'!$A$1:$P$15</definedName>
    <definedName name="Z_4767DD30_F6FB_4FF0_A429_8866A8232500_.wvu.PrintTitles" localSheetId="0" hidden="1">'Прил1 к пасп МП'!$3:$5</definedName>
    <definedName name="Z_4767DD30_F6FB_4FF0_A429_8866A8232500_.wvu.PrintTitles" localSheetId="5" hidden="1">'Прил1 подпр1'!$3:$5</definedName>
    <definedName name="Z_4767DD30_F6FB_4FF0_A429_8866A8232500_.wvu.PrintTitles" localSheetId="7" hidden="1">'Прил1 подпр2'!$3:$5</definedName>
    <definedName name="Z_4767DD30_F6FB_4FF0_A429_8866A8232500_.wvu.PrintTitles" localSheetId="9" hidden="1">'Прил1 подпр3'!#REF!</definedName>
    <definedName name="Z_4767DD30_F6FB_4FF0_A429_8866A8232500_.wvu.PrintTitles" localSheetId="3" hidden="1">'Прил2 к МП'!$3:$4</definedName>
    <definedName name="Z_4767DD30_F6FB_4FF0_A429_8866A8232500_.wvu.PrintTitles" localSheetId="1" hidden="1">'Прил2 к пасп МП'!$3:$4</definedName>
    <definedName name="Z_4767DD30_F6FB_4FF0_A429_8866A8232500_.wvu.PrintTitles" localSheetId="12" hidden="1">'Прил2 подпр 4'!$3:$4</definedName>
    <definedName name="Z_4767DD30_F6FB_4FF0_A429_8866A8232500_.wvu.PrintTitles" localSheetId="6" hidden="1">'Прил2 подпр1'!$3:$4</definedName>
    <definedName name="Z_4767DD30_F6FB_4FF0_A429_8866A8232500_.wvu.PrintTitles" localSheetId="8" hidden="1">'Прил2 подпр2'!$3:$4</definedName>
    <definedName name="Z_4767DD30_F6FB_4FF0_A429_8866A8232500_.wvu.PrintTitles" localSheetId="10" hidden="1">'Прил2 подпр3'!$3:$4</definedName>
    <definedName name="Z_4767DD30_F6FB_4FF0_A429_8866A8232500_.wvu.PrintTitles" localSheetId="4" hidden="1">'Прил3 к МП'!$3:$4</definedName>
    <definedName name="Z_4767DD30_F6FB_4FF0_A429_8866A8232500_.wvu.Rows" localSheetId="12" hidden="1">'Прил2 подпр 4'!#REF!,'Прил2 подпр 4'!#REF!</definedName>
    <definedName name="Z_4767DD30_F6FB_4FF0_A429_8866A8232500_.wvu.Rows" localSheetId="6" hidden="1">'Прил2 подпр1'!#REF!,'Прил2 подпр1'!#REF!,'Прил2 подпр1'!#REF!,'Прил2 подпр1'!#REF!,'Прил2 подпр1'!#REF!,'Прил2 подпр1'!#REF!,'Прил2 подпр1'!#REF!,'Прил2 подпр1'!#REF!,'Прил2 подпр1'!#REF!</definedName>
    <definedName name="Z_4767DD30_F6FB_4FF0_A429_8866A8232500_.wvu.Rows" localSheetId="8" hidden="1">'Прил2 подпр2'!#REF!,'Прил2 подпр2'!#REF!,'Прил2 подпр2'!#REF!,'Прил2 подпр2'!$108:$108,'Прил2 подпр2'!#REF!,'Прил2 подпр2'!#REF!,'Прил2 подпр2'!#REF!,'Прил2 подпр2'!#REF!,'Прил2 подпр2'!#REF!</definedName>
    <definedName name="Z_4767DD30_F6FB_4FF0_A429_8866A8232500_.wvu.Rows" localSheetId="10" hidden="1">'Прил2 подпр3'!#REF!,'Прил2 подпр3'!#REF!,'Прил2 подпр3'!$6:$6,'Прил2 подпр3'!#REF!,'Прил2 подпр3'!#REF!,'Прил2 подпр3'!#REF!,'Прил2 подпр3'!#REF!,'Прил2 подпр3'!#REF!,'Прил2 подпр3'!#REF!</definedName>
    <definedName name="Z_484BD7FD_1D3D_4528_954E_A98D5B59AC9C_.wvu.FilterData" localSheetId="6" hidden="1">'Прил2 подпр1'!$A$4:$S$62</definedName>
    <definedName name="Z_484BD7FD_1D3D_4528_954E_A98D5B59AC9C_.wvu.FilterData" localSheetId="8" hidden="1">'Прил2 подпр2'!$A$4:$V$152</definedName>
    <definedName name="Z_484BD7FD_1D3D_4528_954E_A98D5B59AC9C_.wvu.FilterData" localSheetId="10" hidden="1">'Прил2 подпр3'!$A$4:$T$35</definedName>
    <definedName name="Z_7C917F30_361A_4C86_9002_2134EAE2E3CF_.wvu.Cols" localSheetId="5" hidden="1">'Прил1 подпр1'!$D:$D</definedName>
    <definedName name="Z_7C917F30_361A_4C86_9002_2134EAE2E3CF_.wvu.Cols" localSheetId="7" hidden="1">'Прил1 подпр2'!$D:$D</definedName>
    <definedName name="Z_7C917F30_361A_4C86_9002_2134EAE2E3CF_.wvu.Cols" localSheetId="9" hidden="1">'Прил1 подпр3'!$C:$C</definedName>
    <definedName name="Z_7C917F30_361A_4C86_9002_2134EAE2E3CF_.wvu.FilterData" localSheetId="6" hidden="1">'Прил2 подпр1'!$A$4:$S$62</definedName>
    <definedName name="Z_7C917F30_361A_4C86_9002_2134EAE2E3CF_.wvu.FilterData" localSheetId="8" hidden="1">'Прил2 подпр2'!$A$4:$V$152</definedName>
    <definedName name="Z_7C917F30_361A_4C86_9002_2134EAE2E3CF_.wvu.FilterData" localSheetId="10" hidden="1">'Прил2 подпр3'!$A$4:$T$35</definedName>
    <definedName name="Z_7C917F30_361A_4C86_9002_2134EAE2E3CF_.wvu.PrintArea" localSheetId="5" hidden="1">'Прил1 подпр1'!$A$1:$J$13</definedName>
    <definedName name="Z_7C917F30_361A_4C86_9002_2134EAE2E3CF_.wvu.PrintArea" localSheetId="7" hidden="1">'Прил1 подпр2'!$A$1:$J$33</definedName>
    <definedName name="Z_7C917F30_361A_4C86_9002_2134EAE2E3CF_.wvu.PrintArea" localSheetId="9" hidden="1">'Прил1 подпр3'!$A$1:$H$4</definedName>
    <definedName name="Z_7C917F30_361A_4C86_9002_2134EAE2E3CF_.wvu.PrintArea" localSheetId="11" hidden="1">'Прил1 подпр4'!$A$1:$K$33</definedName>
    <definedName name="Z_7C917F30_361A_4C86_9002_2134EAE2E3CF_.wvu.PrintArea" localSheetId="3" hidden="1">'Прил2 к МП'!$A$1:$N$33</definedName>
    <definedName name="Z_7C917F30_361A_4C86_9002_2134EAE2E3CF_.wvu.PrintArea" localSheetId="6" hidden="1">'Прил2 подпр1'!$A$1:$S$68</definedName>
    <definedName name="Z_7C917F30_361A_4C86_9002_2134EAE2E3CF_.wvu.PrintArea" localSheetId="8" hidden="1">'Прил2 подпр2'!$A$1:$S$149</definedName>
    <definedName name="Z_7C917F30_361A_4C86_9002_2134EAE2E3CF_.wvu.PrintArea" localSheetId="10" hidden="1">'Прил2 подпр3'!$A$1:$S$40</definedName>
    <definedName name="Z_7C917F30_361A_4C86_9002_2134EAE2E3CF_.wvu.PrintArea" localSheetId="4" hidden="1">'Прил3 к МП'!$A$1:$P$15</definedName>
    <definedName name="Z_7C917F30_361A_4C86_9002_2134EAE2E3CF_.wvu.PrintTitles" localSheetId="5" hidden="1">'Прил1 подпр1'!$3:$5</definedName>
    <definedName name="Z_7C917F30_361A_4C86_9002_2134EAE2E3CF_.wvu.PrintTitles" localSheetId="7" hidden="1">'Прил1 подпр2'!$3:$5</definedName>
    <definedName name="Z_7C917F30_361A_4C86_9002_2134EAE2E3CF_.wvu.PrintTitles" localSheetId="9" hidden="1">'Прил1 подпр3'!#REF!</definedName>
    <definedName name="Z_7C917F30_361A_4C86_9002_2134EAE2E3CF_.wvu.PrintTitles" localSheetId="3" hidden="1">'Прил2 к МП'!$3:$4</definedName>
    <definedName name="Z_7C917F30_361A_4C86_9002_2134EAE2E3CF_.wvu.PrintTitles" localSheetId="12" hidden="1">'Прил2 подпр 4'!$3:$4</definedName>
    <definedName name="Z_7C917F30_361A_4C86_9002_2134EAE2E3CF_.wvu.PrintTitles" localSheetId="6" hidden="1">'Прил2 подпр1'!$3:$4</definedName>
    <definedName name="Z_7C917F30_361A_4C86_9002_2134EAE2E3CF_.wvu.PrintTitles" localSheetId="8" hidden="1">'Прил2 подпр2'!$3:$4</definedName>
    <definedName name="Z_7C917F30_361A_4C86_9002_2134EAE2E3CF_.wvu.PrintTitles" localSheetId="10" hidden="1">'Прил2 подпр3'!$3:$4</definedName>
    <definedName name="Z_7C917F30_361A_4C86_9002_2134EAE2E3CF_.wvu.PrintTitles" localSheetId="4" hidden="1">'Прил3 к МП'!$3:$4</definedName>
    <definedName name="Z_7C917F30_361A_4C86_9002_2134EAE2E3CF_.wvu.Rows" localSheetId="12" hidden="1">'Прил2 подпр 4'!#REF!,'Прил2 подпр 4'!#REF!</definedName>
    <definedName name="Z_7C917F30_361A_4C86_9002_2134EAE2E3CF_.wvu.Rows" localSheetId="6" hidden="1">'Прил2 подпр1'!#REF!,'Прил2 подпр1'!#REF!,'Прил2 подпр1'!#REF!,'Прил2 подпр1'!#REF!,'Прил2 подпр1'!#REF!,'Прил2 подпр1'!#REF!,'Прил2 подпр1'!#REF!,'Прил2 подпр1'!#REF!,'Прил2 подпр1'!#REF!,'Прил2 подпр1'!#REF!,'Прил2 подпр1'!#REF!,'Прил2 подпр1'!#REF!</definedName>
    <definedName name="Z_7C917F30_361A_4C86_9002_2134EAE2E3CF_.wvu.Rows" localSheetId="8" hidden="1">'Прил2 подпр2'!#REF!,'Прил2 подпр2'!#REF!,'Прил2 подпр2'!#REF!,'Прил2 подпр2'!#REF!,'Прил2 подпр2'!#REF!,'Прил2 подпр2'!#REF!,'Прил2 подпр2'!#REF!,'Прил2 подпр2'!#REF!,'Прил2 подпр2'!#REF!,'Прил2 подпр2'!#REF!,'Прил2 подпр2'!#REF!,'Прил2 подпр2'!#REF!</definedName>
    <definedName name="Z_7C917F30_361A_4C86_9002_2134EAE2E3CF_.wvu.Rows" localSheetId="10" hidden="1">'Прил2 подпр3'!#REF!,'Прил2 подпр3'!#REF!,'Прил2 подпр3'!#REF!,'Прил2 подпр3'!#REF!,'Прил2 подпр3'!#REF!,'Прил2 подпр3'!#REF!,'Прил2 подпр3'!#REF!,'Прил2 подпр3'!#REF!,'Прил2 подпр3'!#REF!,'Прил2 подпр3'!#REF!,'Прил2 подпр3'!#REF!,'Прил2 подпр3'!#REF!</definedName>
    <definedName name="Z_81F2AFB8_21DA_4513_90AB_0A09D7D72D56_.wvu.FilterData" localSheetId="6" hidden="1">'Прил2 подпр1'!$A$4:$S$62</definedName>
    <definedName name="Z_81F2AFB8_21DA_4513_90AB_0A09D7D72D56_.wvu.FilterData" localSheetId="8" hidden="1">'Прил2 подпр2'!$A$4:$V$152</definedName>
    <definedName name="Z_81F2AFB8_21DA_4513_90AB_0A09D7D72D56_.wvu.FilterData" localSheetId="10" hidden="1">'Прил2 подпр3'!$A$4:$T$35</definedName>
    <definedName name="Z_AD6F79BD_847B_4421_A1AA_268A55FACAB4_.wvu.FilterData" localSheetId="6" hidden="1">'Прил2 подпр1'!$A$4:$S$62</definedName>
    <definedName name="Z_AD6F79BD_847B_4421_A1AA_268A55FACAB4_.wvu.FilterData" localSheetId="8" hidden="1">'Прил2 подпр2'!$A$4:$V$152</definedName>
    <definedName name="Z_AD6F79BD_847B_4421_A1AA_268A55FACAB4_.wvu.FilterData" localSheetId="10" hidden="1">'Прил2 подпр3'!$A$4:$T$35</definedName>
    <definedName name="Z_B45C2115_52AF_4E7B_8578_551FB3CF371E_.wvu.FilterData" localSheetId="6" hidden="1">'Прил2 подпр1'!$A$4:$S$62</definedName>
    <definedName name="Z_B45C2115_52AF_4E7B_8578_551FB3CF371E_.wvu.FilterData" localSheetId="8" hidden="1">'Прил2 подпр2'!$A$4:$V$152</definedName>
    <definedName name="Z_B45C2115_52AF_4E7B_8578_551FB3CF371E_.wvu.FilterData" localSheetId="10" hidden="1">'Прил2 подпр3'!$A$4:$T$35</definedName>
    <definedName name="Z_C75D4C66_EC35_48DB_8FCD_E29923CDB091_.wvu.FilterData" localSheetId="6" hidden="1">'Прил2 подпр1'!$A$4:$S$62</definedName>
    <definedName name="Z_C75D4C66_EC35_48DB_8FCD_E29923CDB091_.wvu.FilterData" localSheetId="8" hidden="1">'Прил2 подпр2'!$A$4:$V$152</definedName>
    <definedName name="Z_C75D4C66_EC35_48DB_8FCD_E29923CDB091_.wvu.FilterData" localSheetId="10" hidden="1">'Прил2 подпр3'!$A$4:$T$35</definedName>
    <definedName name="Z_CDE1D6F6_68DF_42F8_B01A_FF6465B24CCD_.wvu.Cols" localSheetId="5" hidden="1">'Прил1 подпр1'!$D:$D</definedName>
    <definedName name="Z_CDE1D6F6_68DF_42F8_B01A_FF6465B24CCD_.wvu.Cols" localSheetId="7" hidden="1">'Прил1 подпр2'!$D:$D</definedName>
    <definedName name="Z_CDE1D6F6_68DF_42F8_B01A_FF6465B24CCD_.wvu.Cols" localSheetId="9" hidden="1">'Прил1 подпр3'!$C:$C</definedName>
    <definedName name="Z_CDE1D6F6_68DF_42F8_B01A_FF6465B24CCD_.wvu.FilterData" localSheetId="6" hidden="1">'Прил2 подпр1'!$A$4:$S$62</definedName>
    <definedName name="Z_CDE1D6F6_68DF_42F8_B01A_FF6465B24CCD_.wvu.FilterData" localSheetId="8" hidden="1">'Прил2 подпр2'!$A$4:$V$152</definedName>
    <definedName name="Z_CDE1D6F6_68DF_42F8_B01A_FF6465B24CCD_.wvu.FilterData" localSheetId="10" hidden="1">'Прил2 подпр3'!$A$4:$T$35</definedName>
    <definedName name="Z_CDE1D6F6_68DF_42F8_B01A_FF6465B24CCD_.wvu.PrintArea" localSheetId="5" hidden="1">'Прил1 подпр1'!$A$1:$J$13</definedName>
    <definedName name="Z_CDE1D6F6_68DF_42F8_B01A_FF6465B24CCD_.wvu.PrintArea" localSheetId="7" hidden="1">'Прил1 подпр2'!$A$1:$J$33</definedName>
    <definedName name="Z_CDE1D6F6_68DF_42F8_B01A_FF6465B24CCD_.wvu.PrintArea" localSheetId="9" hidden="1">'Прил1 подпр3'!$A$1:$H$4</definedName>
    <definedName name="Z_CDE1D6F6_68DF_42F8_B01A_FF6465B24CCD_.wvu.PrintArea" localSheetId="11" hidden="1">'Прил1 подпр4'!$A$1:$K$33</definedName>
    <definedName name="Z_CDE1D6F6_68DF_42F8_B01A_FF6465B24CCD_.wvu.PrintArea" localSheetId="3" hidden="1">'Прил2 к МП'!$A$1:$N$33</definedName>
    <definedName name="Z_CDE1D6F6_68DF_42F8_B01A_FF6465B24CCD_.wvu.PrintArea" localSheetId="12" hidden="1">'Прил2 подпр 4'!$A$1:$S$63</definedName>
    <definedName name="Z_CDE1D6F6_68DF_42F8_B01A_FF6465B24CCD_.wvu.PrintArea" localSheetId="6" hidden="1">'Прил2 подпр1'!$A$1:$S$68</definedName>
    <definedName name="Z_CDE1D6F6_68DF_42F8_B01A_FF6465B24CCD_.wvu.PrintArea" localSheetId="8" hidden="1">'Прил2 подпр2'!$A$1:$S$149</definedName>
    <definedName name="Z_CDE1D6F6_68DF_42F8_B01A_FF6465B24CCD_.wvu.PrintArea" localSheetId="10" hidden="1">'Прил2 подпр3'!$A$1:$S$40</definedName>
    <definedName name="Z_CDE1D6F6_68DF_42F8_B01A_FF6465B24CCD_.wvu.PrintArea" localSheetId="4" hidden="1">'Прил3 к МП'!$A$1:$P$15</definedName>
    <definedName name="Z_CDE1D6F6_68DF_42F8_B01A_FF6465B24CCD_.wvu.PrintTitles" localSheetId="5" hidden="1">'Прил1 подпр1'!$3:$5</definedName>
    <definedName name="Z_CDE1D6F6_68DF_42F8_B01A_FF6465B24CCD_.wvu.PrintTitles" localSheetId="7" hidden="1">'Прил1 подпр2'!$3:$5</definedName>
    <definedName name="Z_CDE1D6F6_68DF_42F8_B01A_FF6465B24CCD_.wvu.PrintTitles" localSheetId="9" hidden="1">'Прил1 подпр3'!#REF!</definedName>
    <definedName name="Z_CDE1D6F6_68DF_42F8_B01A_FF6465B24CCD_.wvu.PrintTitles" localSheetId="3" hidden="1">'Прил2 к МП'!$3:$4</definedName>
    <definedName name="Z_CDE1D6F6_68DF_42F8_B01A_FF6465B24CCD_.wvu.PrintTitles" localSheetId="12" hidden="1">'Прил2 подпр 4'!$3:$4</definedName>
    <definedName name="Z_CDE1D6F6_68DF_42F8_B01A_FF6465B24CCD_.wvu.PrintTitles" localSheetId="6" hidden="1">'Прил2 подпр1'!$3:$4</definedName>
    <definedName name="Z_CDE1D6F6_68DF_42F8_B01A_FF6465B24CCD_.wvu.PrintTitles" localSheetId="8" hidden="1">'Прил2 подпр2'!$3:$4</definedName>
    <definedName name="Z_CDE1D6F6_68DF_42F8_B01A_FF6465B24CCD_.wvu.PrintTitles" localSheetId="10" hidden="1">'Прил2 подпр3'!$3:$4</definedName>
    <definedName name="Z_CDE1D6F6_68DF_42F8_B01A_FF6465B24CCD_.wvu.PrintTitles" localSheetId="4" hidden="1">'Прил3 к МП'!$3:$4</definedName>
    <definedName name="Z_CDE1D6F6_68DF_42F8_B01A_FF6465B24CCD_.wvu.Rows" localSheetId="12" hidden="1">'Прил2 подпр 4'!#REF!,'Прил2 подпр 4'!#REF!</definedName>
    <definedName name="Z_D97B14A5_4ECD_4EB7_B8A7_D41E462F19A2_.wvu.FilterData" localSheetId="6" hidden="1">'Прил2 подпр1'!$A$4:$S$62</definedName>
    <definedName name="Z_D97B14A5_4ECD_4EB7_B8A7_D41E462F19A2_.wvu.FilterData" localSheetId="8" hidden="1">'Прил2 подпр2'!$A$4:$V$152</definedName>
    <definedName name="Z_D97B14A5_4ECD_4EB7_B8A7_D41E462F19A2_.wvu.FilterData" localSheetId="10" hidden="1">'Прил2 подпр3'!$A$4:$T$35</definedName>
    <definedName name="Z_FAC3C627_8E23_41AB_B3FB_95B33614D8DB_.wvu.FilterData" localSheetId="6" hidden="1">'Прил2 подпр1'!$A$4:$S$62</definedName>
    <definedName name="Z_FAC3C627_8E23_41AB_B3FB_95B33614D8DB_.wvu.FilterData" localSheetId="8" hidden="1">'Прил2 подпр2'!$A$4:$V$152</definedName>
    <definedName name="Z_FAC3C627_8E23_41AB_B3FB_95B33614D8DB_.wvu.FilterData" localSheetId="10" hidden="1">'Прил2 подпр3'!$A$4:$T$35</definedName>
    <definedName name="_xlnm.Print_Titles" localSheetId="0">'Прил1 к пасп МП'!$3:$5</definedName>
    <definedName name="_xlnm.Print_Titles" localSheetId="5">'Прил1 подпр1'!$3:$5</definedName>
    <definedName name="_xlnm.Print_Titles" localSheetId="7">'Прил1 подпр2'!$3:$5</definedName>
    <definedName name="_xlnm.Print_Titles" localSheetId="9">'Прил1 подпр3'!#REF!</definedName>
    <definedName name="_xlnm.Print_Titles" localSheetId="3">'Прил2 к МП'!$3:$4</definedName>
    <definedName name="_xlnm.Print_Titles" localSheetId="1">'Прил2 к пасп МП'!$3:$4</definedName>
    <definedName name="_xlnm.Print_Titles" localSheetId="12">'Прил2 подпр 4'!$3:$4</definedName>
    <definedName name="_xlnm.Print_Titles" localSheetId="6">'Прил2 подпр1'!$3:$4</definedName>
    <definedName name="_xlnm.Print_Titles" localSheetId="8">'Прил2 подпр2'!$3:$4</definedName>
    <definedName name="_xlnm.Print_Titles" localSheetId="10">'Прил2 подпр3'!$3:$4</definedName>
    <definedName name="_xlnm.Print_Titles" localSheetId="4">'Прил3 к МП'!$3:$4</definedName>
    <definedName name="_xlnm.Print_Area" localSheetId="0">'Прил1 к пасп МП'!$A$1:$P$76</definedName>
    <definedName name="_xlnm.Print_Area" localSheetId="5">'Прил1 подпр1'!$A$1:$N$13</definedName>
    <definedName name="_xlnm.Print_Area" localSheetId="7">'Прил1 подпр2'!$A$1:$N$33</definedName>
    <definedName name="_xlnm.Print_Area" localSheetId="9">'Прил1 подпр3'!$A$1:$O$13</definedName>
    <definedName name="_xlnm.Print_Area" localSheetId="11">'Прил1 подпр4'!$A$1:$N$29</definedName>
    <definedName name="_xlnm.Print_Area" localSheetId="3">'Прил2 к МП'!$A$1:$N$33</definedName>
    <definedName name="_xlnm.Print_Area" localSheetId="1">'Прил2 к пасп МП'!$A$1:$Q$10</definedName>
    <definedName name="_xlnm.Print_Area" localSheetId="12">'Прил2 подпр 4'!$A$1:$S$63</definedName>
    <definedName name="_xlnm.Print_Area" localSheetId="8">'Прил2 подпр2'!$A$1:$S$149</definedName>
    <definedName name="_xlnm.Print_Area" localSheetId="10">'Прил2 подпр3'!$A$1:$S$40</definedName>
    <definedName name="_xlnm.Print_Area" localSheetId="4">'Прил3 к МП'!$A$1:$S$36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3" l="1"/>
  <c r="J61" i="13"/>
  <c r="P59" i="13"/>
  <c r="O59" i="13"/>
  <c r="O61" i="13" s="1"/>
  <c r="N59" i="13"/>
  <c r="M59" i="13"/>
  <c r="M61" i="13" s="1"/>
  <c r="L59" i="13"/>
  <c r="L61" i="13" s="1"/>
  <c r="K59" i="13"/>
  <c r="K61" i="13" s="1"/>
  <c r="J59" i="13"/>
  <c r="I59" i="13"/>
  <c r="I61" i="13" s="1"/>
  <c r="H59" i="13"/>
  <c r="H61" i="13" s="1"/>
  <c r="R58" i="13"/>
  <c r="K58" i="13"/>
  <c r="R57" i="13"/>
  <c r="R56" i="13"/>
  <c r="Q56" i="13"/>
  <c r="P56" i="13"/>
  <c r="Q55" i="13"/>
  <c r="R55" i="13" s="1"/>
  <c r="R54" i="13"/>
  <c r="Q54" i="13"/>
  <c r="Q53" i="13"/>
  <c r="Q59" i="13" s="1"/>
  <c r="O51" i="13"/>
  <c r="O60" i="13" s="1"/>
  <c r="R50" i="13"/>
  <c r="Q50" i="13"/>
  <c r="N50" i="13"/>
  <c r="N49" i="13"/>
  <c r="R49" i="13" s="1"/>
  <c r="P48" i="13"/>
  <c r="Q48" i="13" s="1"/>
  <c r="R48" i="13" s="1"/>
  <c r="R47" i="13"/>
  <c r="Q47" i="13"/>
  <c r="P47" i="13"/>
  <c r="Q46" i="13"/>
  <c r="R46" i="13" s="1"/>
  <c r="R45" i="13"/>
  <c r="Q45" i="13"/>
  <c r="Q44" i="13"/>
  <c r="R44" i="13" s="1"/>
  <c r="R43" i="13"/>
  <c r="Q42" i="13"/>
  <c r="R42" i="13" s="1"/>
  <c r="R41" i="13"/>
  <c r="Q41" i="13"/>
  <c r="O41" i="13"/>
  <c r="Q40" i="13"/>
  <c r="P40" i="13"/>
  <c r="R40" i="13" s="1"/>
  <c r="P39" i="13"/>
  <c r="R38" i="13"/>
  <c r="P37" i="13"/>
  <c r="R36" i="13"/>
  <c r="Q36" i="13"/>
  <c r="Q35" i="13"/>
  <c r="R35" i="13" s="1"/>
  <c r="P34" i="13"/>
  <c r="Q34" i="13" s="1"/>
  <c r="R34" i="13" s="1"/>
  <c r="R33" i="13"/>
  <c r="Q33" i="13"/>
  <c r="P33" i="13"/>
  <c r="R32" i="13"/>
  <c r="R31" i="13"/>
  <c r="Q31" i="13"/>
  <c r="R30" i="13"/>
  <c r="R29" i="13"/>
  <c r="Q29" i="13"/>
  <c r="M29" i="13"/>
  <c r="Q28" i="13"/>
  <c r="P28" i="13"/>
  <c r="O28" i="13"/>
  <c r="V32" i="13" s="1"/>
  <c r="N28" i="13"/>
  <c r="M28" i="13"/>
  <c r="M51" i="13" s="1"/>
  <c r="M60" i="13" s="1"/>
  <c r="M62" i="13" s="1"/>
  <c r="L28" i="13"/>
  <c r="K28" i="13"/>
  <c r="J28" i="13"/>
  <c r="J51" i="13" s="1"/>
  <c r="I28" i="13"/>
  <c r="I51" i="13" s="1"/>
  <c r="H28" i="13"/>
  <c r="H51" i="13" s="1"/>
  <c r="Q27" i="13"/>
  <c r="R27" i="13" s="1"/>
  <c r="R26" i="13"/>
  <c r="R25" i="13"/>
  <c r="Q25" i="13"/>
  <c r="Q24" i="13"/>
  <c r="R24" i="13" s="1"/>
  <c r="R23" i="13"/>
  <c r="Q22" i="13"/>
  <c r="R22" i="13" s="1"/>
  <c r="R21" i="13"/>
  <c r="Q21" i="13"/>
  <c r="Q20" i="13"/>
  <c r="L20" i="13"/>
  <c r="R20" i="13" s="1"/>
  <c r="R19" i="13"/>
  <c r="Q19" i="13"/>
  <c r="P19" i="13"/>
  <c r="R18" i="13"/>
  <c r="Q18" i="13"/>
  <c r="P18" i="13"/>
  <c r="L18" i="13"/>
  <c r="L62" i="13" s="1"/>
  <c r="R17" i="13"/>
  <c r="Q17" i="13"/>
  <c r="P17" i="13"/>
  <c r="Q16" i="13"/>
  <c r="P16" i="13"/>
  <c r="R16" i="13" s="1"/>
  <c r="P15" i="13"/>
  <c r="P14" i="13"/>
  <c r="P61" i="13" s="1"/>
  <c r="R13" i="13"/>
  <c r="Q13" i="13"/>
  <c r="R12" i="13"/>
  <c r="Q11" i="13"/>
  <c r="R11" i="13" s="1"/>
  <c r="R10" i="13"/>
  <c r="R9" i="13"/>
  <c r="Q9" i="13"/>
  <c r="Q8" i="13"/>
  <c r="O8" i="13"/>
  <c r="N8" i="13"/>
  <c r="N51" i="13" s="1"/>
  <c r="N60" i="13" s="1"/>
  <c r="N62" i="13" s="1"/>
  <c r="K8" i="13"/>
  <c r="K51" i="13" s="1"/>
  <c r="R7" i="13"/>
  <c r="Q7" i="13"/>
  <c r="N28" i="12"/>
  <c r="N27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8" i="10"/>
  <c r="P38" i="10" s="1"/>
  <c r="Q38" i="10" s="1"/>
  <c r="N38" i="10"/>
  <c r="L38" i="10"/>
  <c r="K38" i="10"/>
  <c r="J38" i="10"/>
  <c r="I38" i="10"/>
  <c r="H38" i="10"/>
  <c r="R38" i="10" s="1"/>
  <c r="O37" i="10"/>
  <c r="N37" i="10"/>
  <c r="M37" i="10"/>
  <c r="L37" i="10"/>
  <c r="K37" i="10"/>
  <c r="J37" i="10"/>
  <c r="I37" i="10"/>
  <c r="O36" i="10"/>
  <c r="N36" i="10"/>
  <c r="M36" i="10"/>
  <c r="L36" i="10"/>
  <c r="K36" i="10"/>
  <c r="J36" i="10"/>
  <c r="I36" i="10"/>
  <c r="H36" i="10"/>
  <c r="P34" i="10"/>
  <c r="Q34" i="10" s="1"/>
  <c r="N34" i="10"/>
  <c r="M34" i="10"/>
  <c r="L34" i="10"/>
  <c r="K34" i="10"/>
  <c r="J34" i="10"/>
  <c r="I34" i="10"/>
  <c r="H34" i="10"/>
  <c r="Q33" i="10"/>
  <c r="R33" i="10" s="1"/>
  <c r="P33" i="10"/>
  <c r="P32" i="10"/>
  <c r="P31" i="10"/>
  <c r="P30" i="10"/>
  <c r="Q30" i="10" s="1"/>
  <c r="R30" i="10" s="1"/>
  <c r="Q29" i="10"/>
  <c r="R29" i="10" s="1"/>
  <c r="P29" i="10"/>
  <c r="P28" i="10"/>
  <c r="P27" i="10"/>
  <c r="P26" i="10"/>
  <c r="Q26" i="10" s="1"/>
  <c r="R26" i="10" s="1"/>
  <c r="Q25" i="10"/>
  <c r="R25" i="10" s="1"/>
  <c r="P25" i="10"/>
  <c r="O23" i="10"/>
  <c r="O35" i="10" s="1"/>
  <c r="N23" i="10"/>
  <c r="N35" i="10" s="1"/>
  <c r="L23" i="10"/>
  <c r="L35" i="10" s="1"/>
  <c r="J23" i="10"/>
  <c r="J35" i="10" s="1"/>
  <c r="I23" i="10"/>
  <c r="I35" i="10" s="1"/>
  <c r="P22" i="10"/>
  <c r="R21" i="10"/>
  <c r="Q20" i="10"/>
  <c r="R20" i="10" s="1"/>
  <c r="Q19" i="10"/>
  <c r="R19" i="10" s="1"/>
  <c r="P19" i="10"/>
  <c r="Q18" i="10"/>
  <c r="M18" i="10"/>
  <c r="M38" i="10" s="1"/>
  <c r="R17" i="10"/>
  <c r="R16" i="10"/>
  <c r="Q15" i="10"/>
  <c r="R15" i="10" s="1"/>
  <c r="P15" i="10"/>
  <c r="P14" i="10"/>
  <c r="P36" i="10" s="1"/>
  <c r="K14" i="10"/>
  <c r="K23" i="10" s="1"/>
  <c r="K35" i="10" s="1"/>
  <c r="P13" i="10"/>
  <c r="P12" i="10"/>
  <c r="Q12" i="10" s="1"/>
  <c r="H12" i="10"/>
  <c r="R12" i="10" s="1"/>
  <c r="P11" i="10"/>
  <c r="R10" i="10"/>
  <c r="Q10" i="10"/>
  <c r="P9" i="10"/>
  <c r="P37" i="10" s="1"/>
  <c r="R8" i="10"/>
  <c r="R6" i="10"/>
  <c r="P148" i="9"/>
  <c r="O148" i="9"/>
  <c r="K148" i="9"/>
  <c r="J148" i="9"/>
  <c r="I148" i="9"/>
  <c r="N147" i="9"/>
  <c r="M147" i="9"/>
  <c r="J147" i="9"/>
  <c r="M146" i="9"/>
  <c r="J146" i="9"/>
  <c r="I146" i="9"/>
  <c r="H146" i="9"/>
  <c r="O144" i="9"/>
  <c r="N144" i="9"/>
  <c r="N145" i="9" s="1"/>
  <c r="M144" i="9"/>
  <c r="K144" i="9"/>
  <c r="I144" i="9"/>
  <c r="R143" i="9"/>
  <c r="Q143" i="9"/>
  <c r="R142" i="9"/>
  <c r="Q142" i="9"/>
  <c r="R141" i="9"/>
  <c r="Q141" i="9"/>
  <c r="R140" i="9"/>
  <c r="Q140" i="9"/>
  <c r="R139" i="9"/>
  <c r="Q139" i="9"/>
  <c r="R138" i="9"/>
  <c r="Q138" i="9"/>
  <c r="R137" i="9"/>
  <c r="Q137" i="9"/>
  <c r="P137" i="9"/>
  <c r="Q136" i="9"/>
  <c r="P136" i="9"/>
  <c r="R136" i="9" s="1"/>
  <c r="P135" i="9"/>
  <c r="R134" i="9"/>
  <c r="Q134" i="9"/>
  <c r="P134" i="9"/>
  <c r="P133" i="9"/>
  <c r="Q133" i="9" s="1"/>
  <c r="R133" i="9" s="1"/>
  <c r="Q132" i="9"/>
  <c r="P132" i="9"/>
  <c r="R132" i="9" s="1"/>
  <c r="P131" i="9"/>
  <c r="Q130" i="9"/>
  <c r="R130" i="9" s="1"/>
  <c r="P130" i="9"/>
  <c r="P129" i="9"/>
  <c r="Q129" i="9" s="1"/>
  <c r="R129" i="9" s="1"/>
  <c r="Q128" i="9"/>
  <c r="L128" i="9"/>
  <c r="L144" i="9" s="1"/>
  <c r="H128" i="9"/>
  <c r="H148" i="9" s="1"/>
  <c r="R127" i="9"/>
  <c r="R126" i="9"/>
  <c r="Q126" i="9"/>
  <c r="P125" i="9"/>
  <c r="Q124" i="9"/>
  <c r="R124" i="9" s="1"/>
  <c r="P124" i="9"/>
  <c r="P123" i="9"/>
  <c r="Q123" i="9" s="1"/>
  <c r="R123" i="9" s="1"/>
  <c r="Q122" i="9"/>
  <c r="R122" i="9" s="1"/>
  <c r="R121" i="9"/>
  <c r="Q121" i="9"/>
  <c r="P121" i="9"/>
  <c r="R120" i="9"/>
  <c r="Q120" i="9"/>
  <c r="P120" i="9"/>
  <c r="Q119" i="9"/>
  <c r="P119" i="9"/>
  <c r="R119" i="9" s="1"/>
  <c r="R118" i="9"/>
  <c r="Q118" i="9"/>
  <c r="R117" i="9"/>
  <c r="Q117" i="9"/>
  <c r="P116" i="9"/>
  <c r="P144" i="9" s="1"/>
  <c r="J116" i="9"/>
  <c r="J144" i="9" s="1"/>
  <c r="J145" i="9" s="1"/>
  <c r="R115" i="9"/>
  <c r="R114" i="9"/>
  <c r="Q113" i="9"/>
  <c r="R113" i="9" s="1"/>
  <c r="N111" i="9"/>
  <c r="J111" i="9"/>
  <c r="R110" i="9"/>
  <c r="Q110" i="9"/>
  <c r="P110" i="9"/>
  <c r="Q109" i="9"/>
  <c r="P109" i="9"/>
  <c r="R109" i="9" s="1"/>
  <c r="P108" i="9"/>
  <c r="R107" i="9"/>
  <c r="Q107" i="9"/>
  <c r="P107" i="9"/>
  <c r="R106" i="9"/>
  <c r="Q106" i="9"/>
  <c r="P106" i="9"/>
  <c r="Q105" i="9"/>
  <c r="P105" i="9"/>
  <c r="R105" i="9" s="1"/>
  <c r="Q104" i="9"/>
  <c r="Q148" i="9" s="1"/>
  <c r="O104" i="9"/>
  <c r="N104" i="9"/>
  <c r="N148" i="9" s="1"/>
  <c r="M104" i="9"/>
  <c r="M148" i="9" s="1"/>
  <c r="L104" i="9"/>
  <c r="L148" i="9" s="1"/>
  <c r="P103" i="9"/>
  <c r="R102" i="9"/>
  <c r="Q102" i="9"/>
  <c r="P102" i="9"/>
  <c r="R101" i="9"/>
  <c r="Q101" i="9"/>
  <c r="P101" i="9"/>
  <c r="Q100" i="9"/>
  <c r="R100" i="9" s="1"/>
  <c r="R99" i="9"/>
  <c r="Q99" i="9"/>
  <c r="Q98" i="9"/>
  <c r="R98" i="9" s="1"/>
  <c r="R97" i="9"/>
  <c r="Q97" i="9"/>
  <c r="Q96" i="9"/>
  <c r="P96" i="9"/>
  <c r="R96" i="9" s="1"/>
  <c r="P95" i="9"/>
  <c r="Q94" i="9"/>
  <c r="R94" i="9" s="1"/>
  <c r="Q93" i="9"/>
  <c r="R93" i="9" s="1"/>
  <c r="Q92" i="9"/>
  <c r="P92" i="9"/>
  <c r="O92" i="9"/>
  <c r="R92" i="9" s="1"/>
  <c r="Q91" i="9"/>
  <c r="R91" i="9" s="1"/>
  <c r="Q90" i="9"/>
  <c r="L90" i="9"/>
  <c r="R90" i="9" s="1"/>
  <c r="P89" i="9"/>
  <c r="Q88" i="9"/>
  <c r="R88" i="9" s="1"/>
  <c r="Q87" i="9"/>
  <c r="R87" i="9" s="1"/>
  <c r="Q86" i="9"/>
  <c r="R86" i="9" s="1"/>
  <c r="Q85" i="9"/>
  <c r="R85" i="9" s="1"/>
  <c r="Q84" i="9"/>
  <c r="R84" i="9" s="1"/>
  <c r="Q83" i="9"/>
  <c r="R83" i="9" s="1"/>
  <c r="R82" i="9"/>
  <c r="Q82" i="9"/>
  <c r="Q81" i="9"/>
  <c r="R81" i="9" s="1"/>
  <c r="Q80" i="9"/>
  <c r="M80" i="9"/>
  <c r="M111" i="9" s="1"/>
  <c r="K80" i="9"/>
  <c r="R80" i="9" s="1"/>
  <c r="R79" i="9"/>
  <c r="Q79" i="9"/>
  <c r="Q78" i="9"/>
  <c r="R78" i="9" s="1"/>
  <c r="R77" i="9"/>
  <c r="Q77" i="9"/>
  <c r="Q76" i="9"/>
  <c r="P76" i="9"/>
  <c r="R76" i="9" s="1"/>
  <c r="P75" i="9"/>
  <c r="R74" i="9"/>
  <c r="Q74" i="9"/>
  <c r="P74" i="9"/>
  <c r="R73" i="9"/>
  <c r="Q73" i="9"/>
  <c r="P73" i="9"/>
  <c r="Q72" i="9"/>
  <c r="P72" i="9"/>
  <c r="R72" i="9" s="1"/>
  <c r="P71" i="9"/>
  <c r="R70" i="9"/>
  <c r="Q70" i="9"/>
  <c r="P70" i="9"/>
  <c r="R69" i="9"/>
  <c r="Q69" i="9"/>
  <c r="R68" i="9"/>
  <c r="Q68" i="9"/>
  <c r="R67" i="9"/>
  <c r="Q67" i="9"/>
  <c r="K67" i="9"/>
  <c r="Q66" i="9"/>
  <c r="R66" i="9" s="1"/>
  <c r="R65" i="9"/>
  <c r="Q65" i="9"/>
  <c r="P65" i="9"/>
  <c r="R64" i="9"/>
  <c r="Q64" i="9"/>
  <c r="R63" i="9"/>
  <c r="Q63" i="9"/>
  <c r="R62" i="9"/>
  <c r="Q62" i="9"/>
  <c r="P61" i="9"/>
  <c r="R60" i="9"/>
  <c r="R59" i="9"/>
  <c r="Q59" i="9"/>
  <c r="R58" i="9"/>
  <c r="Q58" i="9"/>
  <c r="Q57" i="9"/>
  <c r="P57" i="9"/>
  <c r="R57" i="9" s="1"/>
  <c r="Q56" i="9"/>
  <c r="L56" i="9"/>
  <c r="L147" i="9" s="1"/>
  <c r="I56" i="9"/>
  <c r="I147" i="9" s="1"/>
  <c r="H56" i="9"/>
  <c r="R56" i="9" s="1"/>
  <c r="R55" i="9"/>
  <c r="Q55" i="9"/>
  <c r="N53" i="9"/>
  <c r="J53" i="9"/>
  <c r="I53" i="9"/>
  <c r="H53" i="9"/>
  <c r="Q52" i="9"/>
  <c r="R52" i="9" s="1"/>
  <c r="Q51" i="9"/>
  <c r="R51" i="9" s="1"/>
  <c r="Q50" i="9"/>
  <c r="R50" i="9" s="1"/>
  <c r="Q49" i="9"/>
  <c r="R49" i="9" s="1"/>
  <c r="Q48" i="9"/>
  <c r="R48" i="9" s="1"/>
  <c r="Q47" i="9"/>
  <c r="R47" i="9" s="1"/>
  <c r="Q46" i="9"/>
  <c r="N46" i="9"/>
  <c r="R46" i="9" s="1"/>
  <c r="R45" i="9"/>
  <c r="R44" i="9"/>
  <c r="R43" i="9"/>
  <c r="R42" i="9"/>
  <c r="R41" i="9"/>
  <c r="Q41" i="9"/>
  <c r="R40" i="9"/>
  <c r="Q39" i="9"/>
  <c r="R39" i="9" s="1"/>
  <c r="Q38" i="9"/>
  <c r="R38" i="9" s="1"/>
  <c r="R37" i="9"/>
  <c r="R36" i="9"/>
  <c r="R35" i="9"/>
  <c r="R34" i="9"/>
  <c r="N33" i="9"/>
  <c r="R33" i="9" s="1"/>
  <c r="K33" i="9"/>
  <c r="R32" i="9"/>
  <c r="L32" i="9"/>
  <c r="L146" i="9" s="1"/>
  <c r="K32" i="9"/>
  <c r="Q31" i="9"/>
  <c r="P31" i="9"/>
  <c r="P147" i="9" s="1"/>
  <c r="P30" i="9"/>
  <c r="R29" i="9"/>
  <c r="Q29" i="9"/>
  <c r="P29" i="9"/>
  <c r="R28" i="9"/>
  <c r="Q28" i="9"/>
  <c r="P28" i="9"/>
  <c r="R27" i="9"/>
  <c r="R26" i="9"/>
  <c r="R25" i="9"/>
  <c r="N25" i="9"/>
  <c r="N146" i="9" s="1"/>
  <c r="R24" i="9"/>
  <c r="R23" i="9"/>
  <c r="Q23" i="9"/>
  <c r="P23" i="9"/>
  <c r="O23" i="9"/>
  <c r="R22" i="9"/>
  <c r="R21" i="9"/>
  <c r="R20" i="9"/>
  <c r="Q19" i="9"/>
  <c r="P19" i="9"/>
  <c r="R19" i="9" s="1"/>
  <c r="P18" i="9"/>
  <c r="R17" i="9"/>
  <c r="Q17" i="9"/>
  <c r="P17" i="9"/>
  <c r="R16" i="9"/>
  <c r="Q16" i="9"/>
  <c r="P16" i="9"/>
  <c r="Q15" i="9"/>
  <c r="P15" i="9"/>
  <c r="M15" i="9"/>
  <c r="M53" i="9" s="1"/>
  <c r="R14" i="9"/>
  <c r="R13" i="9"/>
  <c r="Q13" i="9"/>
  <c r="R12" i="9"/>
  <c r="R11" i="9"/>
  <c r="R10" i="9"/>
  <c r="Q10" i="9"/>
  <c r="P10" i="9"/>
  <c r="O9" i="9"/>
  <c r="O147" i="9" s="1"/>
  <c r="K9" i="9"/>
  <c r="K147" i="9" s="1"/>
  <c r="R8" i="9"/>
  <c r="Q8" i="9"/>
  <c r="R7" i="9"/>
  <c r="Q7" i="9"/>
  <c r="P7" i="9"/>
  <c r="P146" i="9" s="1"/>
  <c r="K7" i="9"/>
  <c r="K146" i="9" s="1"/>
  <c r="N30" i="8"/>
  <c r="N28" i="8"/>
  <c r="N27" i="8"/>
  <c r="N26" i="8"/>
  <c r="N25" i="8"/>
  <c r="N23" i="8"/>
  <c r="N22" i="8"/>
  <c r="N21" i="8"/>
  <c r="N20" i="8"/>
  <c r="N19" i="8"/>
  <c r="N18" i="8"/>
  <c r="N17" i="8"/>
  <c r="N16" i="8"/>
  <c r="N15" i="8"/>
  <c r="N14" i="8"/>
  <c r="N12" i="8"/>
  <c r="N11" i="8"/>
  <c r="N10" i="8"/>
  <c r="N9" i="8"/>
  <c r="N8" i="8"/>
  <c r="P65" i="7"/>
  <c r="O65" i="7"/>
  <c r="N65" i="7"/>
  <c r="M65" i="7"/>
  <c r="L65" i="7"/>
  <c r="K65" i="7"/>
  <c r="J65" i="7"/>
  <c r="I65" i="7"/>
  <c r="H65" i="7"/>
  <c r="O64" i="7"/>
  <c r="M64" i="7"/>
  <c r="L64" i="7"/>
  <c r="K64" i="7"/>
  <c r="J64" i="7"/>
  <c r="I64" i="7"/>
  <c r="H64" i="7"/>
  <c r="O63" i="7"/>
  <c r="N63" i="7"/>
  <c r="M63" i="7"/>
  <c r="K63" i="7"/>
  <c r="J63" i="7"/>
  <c r="I63" i="7"/>
  <c r="H63" i="7"/>
  <c r="M62" i="7"/>
  <c r="I62" i="7"/>
  <c r="O61" i="7"/>
  <c r="O62" i="7" s="1"/>
  <c r="M61" i="7"/>
  <c r="L61" i="7"/>
  <c r="L62" i="7" s="1"/>
  <c r="K61" i="7"/>
  <c r="K62" i="7" s="1"/>
  <c r="J61" i="7"/>
  <c r="J62" i="7" s="1"/>
  <c r="I61" i="7"/>
  <c r="H61" i="7"/>
  <c r="P60" i="7"/>
  <c r="Q60" i="7" s="1"/>
  <c r="P59" i="7"/>
  <c r="Q59" i="7" s="1"/>
  <c r="R59" i="7" s="1"/>
  <c r="Q58" i="7"/>
  <c r="R58" i="7" s="1"/>
  <c r="P58" i="7"/>
  <c r="P57" i="7"/>
  <c r="P56" i="7"/>
  <c r="Q56" i="7" s="1"/>
  <c r="P55" i="7"/>
  <c r="Q55" i="7" s="1"/>
  <c r="R55" i="7" s="1"/>
  <c r="Q54" i="7"/>
  <c r="R54" i="7" s="1"/>
  <c r="P54" i="7"/>
  <c r="Q53" i="7"/>
  <c r="R53" i="7" s="1"/>
  <c r="R52" i="7"/>
  <c r="Q52" i="7"/>
  <c r="P51" i="7"/>
  <c r="Q50" i="7"/>
  <c r="L50" i="7"/>
  <c r="L63" i="7" s="1"/>
  <c r="P49" i="7"/>
  <c r="Q49" i="7" s="1"/>
  <c r="R49" i="7" s="1"/>
  <c r="Q48" i="7"/>
  <c r="R48" i="7" s="1"/>
  <c r="P48" i="7"/>
  <c r="P47" i="7"/>
  <c r="Q46" i="7"/>
  <c r="R46" i="7" s="1"/>
  <c r="Q44" i="7"/>
  <c r="R44" i="7" s="1"/>
  <c r="P44" i="7"/>
  <c r="P43" i="7"/>
  <c r="Q42" i="7"/>
  <c r="Q65" i="7" s="1"/>
  <c r="Q41" i="7"/>
  <c r="R41" i="7" s="1"/>
  <c r="P41" i="7"/>
  <c r="P40" i="7"/>
  <c r="R39" i="7"/>
  <c r="P36" i="7"/>
  <c r="N36" i="7"/>
  <c r="P35" i="7"/>
  <c r="Q34" i="7"/>
  <c r="P34" i="7"/>
  <c r="R34" i="7" s="1"/>
  <c r="R33" i="7"/>
  <c r="Q33" i="7"/>
  <c r="R32" i="7"/>
  <c r="Q32" i="7"/>
  <c r="R31" i="7"/>
  <c r="Q31" i="7"/>
  <c r="R30" i="7"/>
  <c r="Q30" i="7"/>
  <c r="P29" i="7"/>
  <c r="Q29" i="7" s="1"/>
  <c r="R29" i="7" s="1"/>
  <c r="Q28" i="7"/>
  <c r="R28" i="7" s="1"/>
  <c r="Q27" i="7"/>
  <c r="R27" i="7" s="1"/>
  <c r="Q26" i="7"/>
  <c r="R26" i="7" s="1"/>
  <c r="Q25" i="7"/>
  <c r="R25" i="7" s="1"/>
  <c r="Q24" i="7"/>
  <c r="R24" i="7" s="1"/>
  <c r="P24" i="7"/>
  <c r="P23" i="7"/>
  <c r="P63" i="7" s="1"/>
  <c r="Q22" i="7"/>
  <c r="P22" i="7"/>
  <c r="R22" i="7" s="1"/>
  <c r="P21" i="7"/>
  <c r="Q21" i="7" s="1"/>
  <c r="R21" i="7" s="1"/>
  <c r="Q20" i="7"/>
  <c r="R20" i="7" s="1"/>
  <c r="R19" i="7"/>
  <c r="R18" i="7"/>
  <c r="N18" i="7"/>
  <c r="R16" i="7"/>
  <c r="Q16" i="7"/>
  <c r="R15" i="7"/>
  <c r="Q15" i="7"/>
  <c r="R14" i="7"/>
  <c r="Q14" i="7"/>
  <c r="R13" i="7"/>
  <c r="Q13" i="7"/>
  <c r="R12" i="7"/>
  <c r="Q12" i="7"/>
  <c r="R11" i="7"/>
  <c r="Q11" i="7"/>
  <c r="P10" i="7"/>
  <c r="P64" i="7" s="1"/>
  <c r="Q9" i="7"/>
  <c r="R9" i="7" s="1"/>
  <c r="Q8" i="7"/>
  <c r="N8" i="7"/>
  <c r="R8" i="7" s="1"/>
  <c r="R7" i="7"/>
  <c r="Q7" i="7"/>
  <c r="N7" i="7"/>
  <c r="N61" i="7" s="1"/>
  <c r="N62" i="7" s="1"/>
  <c r="R32" i="5"/>
  <c r="S32" i="5" s="1"/>
  <c r="Q32" i="5"/>
  <c r="P32" i="5"/>
  <c r="O32" i="5"/>
  <c r="N32" i="5"/>
  <c r="M32" i="5"/>
  <c r="S28" i="5"/>
  <c r="S24" i="5"/>
  <c r="U20" i="5"/>
  <c r="S20" i="5"/>
  <c r="R20" i="5"/>
  <c r="Q20" i="5"/>
  <c r="P20" i="5"/>
  <c r="N20" i="5"/>
  <c r="M20" i="5"/>
  <c r="W19" i="5"/>
  <c r="P19" i="5"/>
  <c r="Q19" i="5" s="1"/>
  <c r="O19" i="5"/>
  <c r="N19" i="5"/>
  <c r="M19" i="5"/>
  <c r="W18" i="5"/>
  <c r="S16" i="5"/>
  <c r="R16" i="5"/>
  <c r="Q16" i="5"/>
  <c r="W11" i="5" s="1"/>
  <c r="P16" i="5"/>
  <c r="O16" i="5"/>
  <c r="N16" i="5"/>
  <c r="W15" i="5"/>
  <c r="W12" i="5"/>
  <c r="S12" i="5"/>
  <c r="T16" i="5" s="1"/>
  <c r="R12" i="5"/>
  <c r="W14" i="5" s="1"/>
  <c r="Q12" i="5"/>
  <c r="X24" i="5" s="1"/>
  <c r="P12" i="5"/>
  <c r="T12" i="5" s="1"/>
  <c r="O12" i="5"/>
  <c r="N12" i="5"/>
  <c r="M8" i="5"/>
  <c r="H8" i="5"/>
  <c r="L32" i="4"/>
  <c r="M32" i="4" s="1"/>
  <c r="N31" i="4"/>
  <c r="K31" i="4"/>
  <c r="M30" i="4"/>
  <c r="L30" i="4"/>
  <c r="L27" i="4" s="1"/>
  <c r="K30" i="4"/>
  <c r="N30" i="4" s="1"/>
  <c r="N29" i="4"/>
  <c r="N28" i="4"/>
  <c r="M27" i="4"/>
  <c r="J27" i="4"/>
  <c r="I27" i="4"/>
  <c r="H27" i="4"/>
  <c r="G27" i="4"/>
  <c r="F27" i="4"/>
  <c r="E27" i="4"/>
  <c r="D27" i="4"/>
  <c r="M26" i="4"/>
  <c r="N26" i="4" s="1"/>
  <c r="N25" i="4"/>
  <c r="M25" i="4"/>
  <c r="M24" i="4"/>
  <c r="M8" i="4" s="1"/>
  <c r="N23" i="4"/>
  <c r="L23" i="4"/>
  <c r="L22" i="4"/>
  <c r="K22" i="4"/>
  <c r="J22" i="4"/>
  <c r="I22" i="4"/>
  <c r="H22" i="4"/>
  <c r="G22" i="4"/>
  <c r="F22" i="4"/>
  <c r="E22" i="4"/>
  <c r="D22" i="4"/>
  <c r="M21" i="4"/>
  <c r="N21" i="4" s="1"/>
  <c r="N20" i="4"/>
  <c r="M19" i="4"/>
  <c r="L19" i="4"/>
  <c r="K19" i="4"/>
  <c r="N19" i="4" s="1"/>
  <c r="N18" i="4"/>
  <c r="J18" i="4"/>
  <c r="L17" i="4"/>
  <c r="N17" i="4" s="1"/>
  <c r="M16" i="4"/>
  <c r="L16" i="4"/>
  <c r="K16" i="4"/>
  <c r="J16" i="4"/>
  <c r="I16" i="4"/>
  <c r="H16" i="4"/>
  <c r="G16" i="4"/>
  <c r="F16" i="4"/>
  <c r="N16" i="4" s="1"/>
  <c r="E16" i="4"/>
  <c r="D16" i="4"/>
  <c r="N15" i="4"/>
  <c r="M15" i="4"/>
  <c r="N14" i="4"/>
  <c r="M14" i="4"/>
  <c r="N13" i="4"/>
  <c r="N11" i="4" s="1"/>
  <c r="M13" i="4"/>
  <c r="N12" i="4"/>
  <c r="L12" i="4"/>
  <c r="M11" i="4"/>
  <c r="L11" i="4"/>
  <c r="K11" i="4"/>
  <c r="J11" i="4"/>
  <c r="I11" i="4"/>
  <c r="H11" i="4"/>
  <c r="G11" i="4"/>
  <c r="F11" i="4"/>
  <c r="E11" i="4"/>
  <c r="D11" i="4"/>
  <c r="L10" i="4"/>
  <c r="K10" i="4"/>
  <c r="J10" i="4"/>
  <c r="I10" i="4"/>
  <c r="I5" i="4" s="1"/>
  <c r="H10" i="4"/>
  <c r="G10" i="4"/>
  <c r="F10" i="4"/>
  <c r="E10" i="4"/>
  <c r="E5" i="4" s="1"/>
  <c r="D10" i="4"/>
  <c r="M9" i="4"/>
  <c r="L9" i="4"/>
  <c r="K9" i="4"/>
  <c r="J9" i="4"/>
  <c r="I9" i="4"/>
  <c r="H9" i="4"/>
  <c r="H5" i="4" s="1"/>
  <c r="G9" i="4"/>
  <c r="F9" i="4"/>
  <c r="E9" i="4"/>
  <c r="D9" i="4"/>
  <c r="N9" i="4" s="1"/>
  <c r="K8" i="4"/>
  <c r="J8" i="4"/>
  <c r="I8" i="4"/>
  <c r="H8" i="4"/>
  <c r="G8" i="4"/>
  <c r="F8" i="4"/>
  <c r="E8" i="4"/>
  <c r="D8" i="4"/>
  <c r="N7" i="4"/>
  <c r="M7" i="4"/>
  <c r="L7" i="4"/>
  <c r="K7" i="4"/>
  <c r="J7" i="4"/>
  <c r="J5" i="4" s="1"/>
  <c r="K5" i="4"/>
  <c r="G5" i="4"/>
  <c r="F5" i="4"/>
  <c r="Q26" i="3"/>
  <c r="R26" i="3" s="1"/>
  <c r="K25" i="3"/>
  <c r="K22" i="3" s="1"/>
  <c r="J25" i="3"/>
  <c r="I25" i="3"/>
  <c r="Q24" i="3"/>
  <c r="Q7" i="3" s="1"/>
  <c r="Q5" i="3" s="1"/>
  <c r="P24" i="3"/>
  <c r="O24" i="3"/>
  <c r="O22" i="3" s="1"/>
  <c r="M24" i="3"/>
  <c r="M7" i="3" s="1"/>
  <c r="M5" i="3" s="1"/>
  <c r="R23" i="3"/>
  <c r="P23" i="3"/>
  <c r="P22" i="3"/>
  <c r="N22" i="3"/>
  <c r="M22" i="3"/>
  <c r="L22" i="3"/>
  <c r="J22" i="3"/>
  <c r="I22" i="3"/>
  <c r="H22" i="3"/>
  <c r="Q21" i="3"/>
  <c r="R21" i="3" s="1"/>
  <c r="P20" i="3"/>
  <c r="R20" i="3" s="1"/>
  <c r="Q19" i="3"/>
  <c r="P19" i="3"/>
  <c r="O19" i="3"/>
  <c r="N19" i="3"/>
  <c r="M19" i="3"/>
  <c r="L19" i="3"/>
  <c r="K19" i="3"/>
  <c r="J19" i="3"/>
  <c r="I19" i="3"/>
  <c r="H19" i="3"/>
  <c r="R19" i="3" s="1"/>
  <c r="R18" i="3"/>
  <c r="O17" i="3"/>
  <c r="Q15" i="3"/>
  <c r="P15" i="3"/>
  <c r="O15" i="3"/>
  <c r="N15" i="3"/>
  <c r="M15" i="3"/>
  <c r="L15" i="3"/>
  <c r="K15" i="3"/>
  <c r="J15" i="3"/>
  <c r="R15" i="3" s="1"/>
  <c r="I15" i="3"/>
  <c r="H15" i="3"/>
  <c r="R14" i="3"/>
  <c r="R13" i="3"/>
  <c r="Q13" i="3"/>
  <c r="P12" i="3"/>
  <c r="R12" i="3" s="1"/>
  <c r="P11" i="3"/>
  <c r="Q11" i="3" s="1"/>
  <c r="O11" i="3"/>
  <c r="N11" i="3"/>
  <c r="M11" i="3"/>
  <c r="L11" i="3"/>
  <c r="K11" i="3"/>
  <c r="J11" i="3"/>
  <c r="R11" i="3" s="1"/>
  <c r="I11" i="3"/>
  <c r="H11" i="3"/>
  <c r="Q10" i="3"/>
  <c r="P10" i="3"/>
  <c r="O10" i="3"/>
  <c r="N10" i="3"/>
  <c r="M10" i="3"/>
  <c r="L10" i="3"/>
  <c r="J10" i="3"/>
  <c r="I10" i="3"/>
  <c r="H10" i="3"/>
  <c r="Q9" i="3"/>
  <c r="P9" i="3"/>
  <c r="P5" i="3" s="1"/>
  <c r="O9" i="3"/>
  <c r="N9" i="3"/>
  <c r="M9" i="3"/>
  <c r="L9" i="3"/>
  <c r="L5" i="3" s="1"/>
  <c r="K9" i="3"/>
  <c r="J9" i="3"/>
  <c r="I9" i="3"/>
  <c r="I5" i="3" s="1"/>
  <c r="H9" i="3"/>
  <c r="H5" i="3" s="1"/>
  <c r="P8" i="3"/>
  <c r="M8" i="3"/>
  <c r="R8" i="3" s="1"/>
  <c r="P7" i="3"/>
  <c r="O7" i="3"/>
  <c r="N7" i="3"/>
  <c r="N5" i="3" s="1"/>
  <c r="L7" i="3"/>
  <c r="K7" i="3"/>
  <c r="J7" i="3"/>
  <c r="J5" i="3" s="1"/>
  <c r="I7" i="3"/>
  <c r="H7" i="3"/>
  <c r="P6" i="3"/>
  <c r="R6" i="3" s="1"/>
  <c r="O5" i="3"/>
  <c r="D7" i="2"/>
  <c r="P73" i="1"/>
  <c r="P72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O55" i="1"/>
  <c r="P55" i="1" s="1"/>
  <c r="P54" i="1"/>
  <c r="O54" i="1"/>
  <c r="O53" i="1"/>
  <c r="P53" i="1" s="1"/>
  <c r="P49" i="1"/>
  <c r="P48" i="1"/>
  <c r="P46" i="1"/>
  <c r="O42" i="1"/>
  <c r="P42" i="1" s="1"/>
  <c r="P41" i="1"/>
  <c r="O41" i="1"/>
  <c r="O40" i="1"/>
  <c r="P40" i="1" s="1"/>
  <c r="P39" i="1"/>
  <c r="O39" i="1"/>
  <c r="O38" i="1"/>
  <c r="P38" i="1" s="1"/>
  <c r="P36" i="1"/>
  <c r="O36" i="1"/>
  <c r="O35" i="1"/>
  <c r="P35" i="1" s="1"/>
  <c r="P34" i="1"/>
  <c r="O34" i="1"/>
  <c r="O33" i="1"/>
  <c r="P33" i="1" s="1"/>
  <c r="P32" i="1"/>
  <c r="O32" i="1"/>
  <c r="O31" i="1"/>
  <c r="P31" i="1" s="1"/>
  <c r="P30" i="1"/>
  <c r="O30" i="1"/>
  <c r="O29" i="1"/>
  <c r="P29" i="1" s="1"/>
  <c r="P28" i="1"/>
  <c r="O28" i="1"/>
  <c r="O27" i="1"/>
  <c r="P27" i="1" s="1"/>
  <c r="P25" i="1"/>
  <c r="O25" i="1"/>
  <c r="O24" i="1"/>
  <c r="P24" i="1" s="1"/>
  <c r="P23" i="1"/>
  <c r="O23" i="1"/>
  <c r="O22" i="1"/>
  <c r="P22" i="1" s="1"/>
  <c r="P21" i="1"/>
  <c r="O21" i="1"/>
  <c r="O17" i="1"/>
  <c r="P17" i="1" s="1"/>
  <c r="P16" i="1"/>
  <c r="O16" i="1"/>
  <c r="O15" i="1"/>
  <c r="P15" i="1" s="1"/>
  <c r="P14" i="1"/>
  <c r="O14" i="1"/>
  <c r="O10" i="1"/>
  <c r="P10" i="1" s="1"/>
  <c r="P9" i="1"/>
  <c r="O9" i="1"/>
  <c r="O8" i="1"/>
  <c r="P8" i="1" s="1"/>
  <c r="P7" i="1"/>
  <c r="O7" i="1"/>
  <c r="H60" i="13" l="1"/>
  <c r="H62" i="13"/>
  <c r="J62" i="13"/>
  <c r="J60" i="13"/>
  <c r="O62" i="13"/>
  <c r="K60" i="13"/>
  <c r="K62" i="13"/>
  <c r="R37" i="13"/>
  <c r="I62" i="13"/>
  <c r="I60" i="13"/>
  <c r="R8" i="13"/>
  <c r="Q15" i="13"/>
  <c r="R15" i="13" s="1"/>
  <c r="R28" i="13"/>
  <c r="Q37" i="13"/>
  <c r="Q39" i="13"/>
  <c r="R39" i="13" s="1"/>
  <c r="L51" i="13"/>
  <c r="L60" i="13" s="1"/>
  <c r="P51" i="13"/>
  <c r="R53" i="13"/>
  <c r="Q14" i="13"/>
  <c r="R59" i="13"/>
  <c r="R28" i="10"/>
  <c r="R31" i="10"/>
  <c r="R34" i="10"/>
  <c r="R13" i="10"/>
  <c r="H23" i="10"/>
  <c r="P23" i="10"/>
  <c r="P35" i="10" s="1"/>
  <c r="Q9" i="10"/>
  <c r="Q13" i="10"/>
  <c r="Q14" i="10"/>
  <c r="Q36" i="10" s="1"/>
  <c r="R36" i="10" s="1"/>
  <c r="M23" i="10"/>
  <c r="M35" i="10" s="1"/>
  <c r="Q28" i="10"/>
  <c r="Q32" i="10"/>
  <c r="R32" i="10" s="1"/>
  <c r="R9" i="10"/>
  <c r="Q11" i="10"/>
  <c r="R11" i="10" s="1"/>
  <c r="R18" i="10"/>
  <c r="Q22" i="10"/>
  <c r="R22" i="10" s="1"/>
  <c r="Q27" i="10"/>
  <c r="R27" i="10" s="1"/>
  <c r="Q31" i="10"/>
  <c r="H37" i="10"/>
  <c r="R148" i="9"/>
  <c r="R30" i="9"/>
  <c r="R89" i="9"/>
  <c r="L145" i="9"/>
  <c r="M145" i="9"/>
  <c r="R95" i="9"/>
  <c r="R18" i="9"/>
  <c r="R61" i="9"/>
  <c r="O145" i="9"/>
  <c r="R104" i="9"/>
  <c r="O111" i="9"/>
  <c r="U104" i="9" s="1"/>
  <c r="V104" i="9" s="1"/>
  <c r="R9" i="9"/>
  <c r="R15" i="9"/>
  <c r="Q18" i="9"/>
  <c r="Q53" i="9" s="1"/>
  <c r="Q30" i="9"/>
  <c r="Q146" i="9" s="1"/>
  <c r="R31" i="9"/>
  <c r="K53" i="9"/>
  <c r="O53" i="9"/>
  <c r="Q61" i="9"/>
  <c r="Q111" i="9" s="1"/>
  <c r="Q71" i="9"/>
  <c r="R71" i="9" s="1"/>
  <c r="Q75" i="9"/>
  <c r="R75" i="9" s="1"/>
  <c r="Q89" i="9"/>
  <c r="Q95" i="9"/>
  <c r="Q103" i="9"/>
  <c r="R103" i="9" s="1"/>
  <c r="Q108" i="9"/>
  <c r="R108" i="9" s="1"/>
  <c r="H111" i="9"/>
  <c r="L111" i="9"/>
  <c r="P111" i="9"/>
  <c r="P145" i="9" s="1"/>
  <c r="Q116" i="9"/>
  <c r="R116" i="9" s="1"/>
  <c r="Q125" i="9"/>
  <c r="R125" i="9" s="1"/>
  <c r="R128" i="9"/>
  <c r="Q131" i="9"/>
  <c r="R131" i="9" s="1"/>
  <c r="Q135" i="9"/>
  <c r="R135" i="9" s="1"/>
  <c r="H144" i="9"/>
  <c r="L53" i="9"/>
  <c r="P53" i="9"/>
  <c r="U112" i="9" s="1"/>
  <c r="V112" i="9" s="1"/>
  <c r="I111" i="9"/>
  <c r="I145" i="9" s="1"/>
  <c r="O146" i="9"/>
  <c r="R146" i="9" s="1"/>
  <c r="H147" i="9"/>
  <c r="K111" i="9"/>
  <c r="K145" i="9" s="1"/>
  <c r="R47" i="7"/>
  <c r="P62" i="7"/>
  <c r="Q62" i="7" s="1"/>
  <c r="R65" i="7"/>
  <c r="P61" i="7"/>
  <c r="Q61" i="7" s="1"/>
  <c r="Q10" i="7"/>
  <c r="R10" i="7" s="1"/>
  <c r="R42" i="7"/>
  <c r="R50" i="7"/>
  <c r="R56" i="7"/>
  <c r="R60" i="7"/>
  <c r="H62" i="7"/>
  <c r="R62" i="7" s="1"/>
  <c r="N64" i="7"/>
  <c r="Q23" i="7"/>
  <c r="Q35" i="7"/>
  <c r="R35" i="7" s="1"/>
  <c r="Q36" i="7"/>
  <c r="R36" i="7" s="1"/>
  <c r="Q40" i="7"/>
  <c r="R40" i="7" s="1"/>
  <c r="Q43" i="7"/>
  <c r="R43" i="7" s="1"/>
  <c r="Q47" i="7"/>
  <c r="Q51" i="7"/>
  <c r="R51" i="7" s="1"/>
  <c r="Q57" i="7"/>
  <c r="R57" i="7" s="1"/>
  <c r="R23" i="7"/>
  <c r="T13" i="5"/>
  <c r="N32" i="4"/>
  <c r="M10" i="4"/>
  <c r="N10" i="4" s="1"/>
  <c r="M22" i="4"/>
  <c r="N22" i="4" s="1"/>
  <c r="D5" i="4"/>
  <c r="L8" i="4"/>
  <c r="L5" i="4" s="1"/>
  <c r="N24" i="4"/>
  <c r="K27" i="4"/>
  <c r="N27" i="4" s="1"/>
  <c r="R22" i="3"/>
  <c r="R25" i="3"/>
  <c r="R9" i="3"/>
  <c r="K10" i="3"/>
  <c r="K5" i="3" s="1"/>
  <c r="R5" i="3" s="1"/>
  <c r="P17" i="3"/>
  <c r="R17" i="3" s="1"/>
  <c r="R7" i="3"/>
  <c r="Q22" i="3"/>
  <c r="R24" i="3"/>
  <c r="Q61" i="13" l="1"/>
  <c r="R61" i="13" s="1"/>
  <c r="R14" i="13"/>
  <c r="R51" i="13"/>
  <c r="P60" i="13"/>
  <c r="P62" i="13" s="1"/>
  <c r="Q51" i="13"/>
  <c r="Q60" i="13" s="1"/>
  <c r="H35" i="10"/>
  <c r="R37" i="10"/>
  <c r="R14" i="10"/>
  <c r="Q37" i="10"/>
  <c r="Q23" i="10"/>
  <c r="Q35" i="10" s="1"/>
  <c r="U114" i="9"/>
  <c r="R53" i="9"/>
  <c r="Q147" i="9"/>
  <c r="R147" i="9" s="1"/>
  <c r="Q144" i="9"/>
  <c r="Q145" i="9" s="1"/>
  <c r="R144" i="9"/>
  <c r="H145" i="9"/>
  <c r="R145" i="9" s="1"/>
  <c r="R111" i="9"/>
  <c r="Q64" i="7"/>
  <c r="R64" i="7" s="1"/>
  <c r="Q63" i="7"/>
  <c r="R63" i="7" s="1"/>
  <c r="R61" i="7"/>
  <c r="M5" i="4"/>
  <c r="N8" i="4"/>
  <c r="N5" i="4" s="1"/>
  <c r="R10" i="3"/>
  <c r="R60" i="13" l="1"/>
  <c r="Q62" i="13"/>
  <c r="R62" i="13" s="1"/>
  <c r="R35" i="10"/>
  <c r="R23" i="10"/>
</calcChain>
</file>

<file path=xl/sharedStrings.xml><?xml version="1.0" encoding="utf-8"?>
<sst xmlns="http://schemas.openxmlformats.org/spreadsheetml/2006/main" count="1966" uniqueCount="628">
  <si>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</si>
  <si>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</si>
  <si>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</si>
  <si>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</si>
  <si>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</si>
  <si>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</si>
  <si>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</si>
  <si>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</si>
  <si>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</si>
  <si>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</si>
  <si>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</si>
  <si>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</si>
  <si>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</si>
  <si>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</si>
  <si>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</si>
  <si>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</si>
  <si>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</si>
  <si>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</si>
  <si>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</si>
  <si>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</si>
  <si>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</si>
  <si>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</si>
  <si>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</si>
  <si>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</si>
  <si>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</si>
  <si>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</si>
  <si>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</si>
  <si>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</si>
  <si>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</si>
  <si>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</si>
  <si>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</si>
  <si>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</si>
  <si>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</si>
  <si>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</si>
  <si>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</si>
  <si>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</si>
  <si>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</si>
  <si>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</si>
  <si>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</si>
  <si>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</si>
  <si>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</si>
  <si>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</si>
  <si>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</si>
  <si>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</si>
  <si>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</si>
  <si>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</si>
  <si>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</si>
  <si>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</si>
  <si>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</si>
  <si>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</si>
  <si>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</si>
  <si>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</si>
  <si>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</si>
  <si>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</si>
  <si>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</si>
  <si>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</si>
  <si>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</si>
  <si>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</si>
  <si>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</si>
  <si>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</si>
  <si>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</si>
  <si>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</si>
  <si>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</si>
  <si>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</si>
  <si>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</si>
  <si>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</si>
  <si>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</si>
  <si>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</si>
  <si>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</si>
  <si>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</si>
  <si>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</si>
  <si>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</si>
  <si>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</si>
  <si>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</si>
  <si>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</si>
  <si>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</si>
  <si>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</si>
  <si>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</si>
  <si>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</si>
  <si>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</si>
  <si>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</si>
  <si>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</si>
  <si>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</si>
  <si>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</si>
  <si>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</si>
  <si>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</si>
  <si>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</si>
  <si>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</si>
  <si>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</si>
  <si>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</si>
  <si>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</si>
  <si>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</si>
  <si>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</si>
  <si>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</si>
  <si>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</si>
  <si>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</si>
  <si>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</si>
  <si>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</si>
  <si>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</si>
  <si>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</si>
  <si>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</si>
  <si>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</si>
  <si>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</si>
  <si>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</si>
  <si>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</si>
  <si>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</si>
  <si>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</si>
  <si>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МСКУ "МЦБ"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</si>
  <si>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</si>
  <si>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</si>
  <si>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</si>
  <si>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</si>
  <si>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</si>
  <si>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</si>
  <si>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</si>
  <si>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</si>
  <si>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</si>
  <si>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</si>
  <si>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</si>
  <si>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</si>
  <si>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</si>
  <si>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</si>
  <si>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</si>
  <si>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</si>
  <si>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</si>
  <si>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</si>
  <si>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</si>
  <si>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</si>
  <si>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</si>
  <si>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</si>
  <si>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</si>
  <si>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</si>
  <si>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</si>
  <si>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</si>
  <si>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</si>
  <si>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</si>
  <si>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</si>
  <si>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</si>
  <si>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</si>
  <si>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</si>
  <si>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</si>
  <si>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</si>
  <si>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</si>
  <si>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</si>
  <si>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</si>
  <si>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</si>
  <si>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</si>
  <si>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</si>
  <si>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</si>
  <si>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</si>
  <si>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</si>
  <si>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</si>
  <si>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</si>
  <si>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</si>
  <si>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</si>
  <si>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</si>
  <si>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</si>
  <si>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</si>
  <si>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</si>
  <si>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>Начальник отдела образования администрации города Дивногорска</t>
  </si>
  <si>
    <t>Г.В.Кабацура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</si>
  <si>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</si>
  <si>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</si>
  <si>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</si>
  <si>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</si>
  <si>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</si>
  <si>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</si>
  <si>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</si>
  <si>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</si>
  <si>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</si>
  <si>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</si>
  <si>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</si>
  <si>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</si>
  <si>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</si>
  <si>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</si>
  <si>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</si>
  <si>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</si>
  <si>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</si>
  <si>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</si>
  <si>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</si>
  <si>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</si>
  <si>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</si>
  <si>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</si>
  <si>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</si>
  <si>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</si>
  <si>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</si>
  <si>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</si>
  <si>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</si>
  <si>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</si>
  <si>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</si>
  <si>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</si>
  <si>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</si>
  <si>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</si>
  <si>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</si>
  <si>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</si>
  <si>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</si>
  <si>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</si>
  <si>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</si>
  <si>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</si>
  <si>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</si>
  <si>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</si>
  <si>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</si>
  <si>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</si>
  <si>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</si>
  <si>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</si>
  <si>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</si>
  <si>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</si>
  <si>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</si>
  <si>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</si>
  <si>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</si>
  <si>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</si>
  <si>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</si>
  <si>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</si>
  <si>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</si>
  <si>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</si>
  <si>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</si>
  <si>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</si>
  <si>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</si>
  <si>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</si>
  <si>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</si>
  <si>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</si>
  <si>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</si>
  <si>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</si>
  <si>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</si>
  <si>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</si>
  <si>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</si>
  <si>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</si>
  <si>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</si>
  <si>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</si>
  <si>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</si>
  <si>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</si>
  <si>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</si>
  <si>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</si>
  <si>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</si>
  <si>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</si>
  <si>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</si>
  <si>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</si>
  <si>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</si>
  <si>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</si>
  <si>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</si>
  <si>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</si>
  <si>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</si>
  <si>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</si>
  <si>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</si>
  <si>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</si>
  <si>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</si>
  <si>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</si>
  <si>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</si>
  <si>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</si>
  <si>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</si>
  <si>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</si>
  <si>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</si>
  <si>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</si>
  <si>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</si>
  <si>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</si>
  <si>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</si>
  <si>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</si>
  <si>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</si>
  <si>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</si>
  <si>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</si>
  <si>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</si>
  <si>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</si>
  <si>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</si>
  <si>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</si>
  <si>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</si>
  <si>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</si>
  <si>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</si>
  <si>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</si>
  <si>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</si>
  <si>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</si>
  <si>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</si>
  <si>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</si>
  <si>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</si>
  <si>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870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</si>
  <si>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</si>
  <si>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</si>
  <si>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</si>
  <si>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</si>
  <si>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</si>
  <si>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</si>
  <si>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</si>
  <si>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</si>
  <si>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</si>
  <si>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</si>
  <si>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</si>
  <si>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</si>
  <si>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</si>
  <si>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</si>
  <si>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</si>
  <si>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</si>
  <si>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</si>
  <si>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</si>
  <si>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</si>
  <si>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</si>
  <si>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</si>
  <si>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</si>
  <si>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</si>
  <si>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</si>
  <si>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</si>
  <si>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</si>
  <si>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</si>
  <si>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</si>
  <si>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</si>
  <si>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</si>
  <si>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</si>
  <si>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</si>
  <si>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</si>
  <si>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</si>
  <si>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</si>
  <si>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</si>
  <si>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</si>
  <si>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</si>
  <si>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</si>
  <si>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</si>
  <si>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</si>
  <si>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</si>
  <si>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</si>
  <si>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</si>
  <si>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</si>
  <si>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</si>
  <si>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</si>
  <si>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</si>
  <si>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</si>
  <si>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</si>
  <si>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</si>
  <si>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</si>
  <si>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</si>
  <si>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</si>
  <si>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</si>
  <si>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</si>
  <si>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</si>
  <si>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</si>
  <si>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</si>
  <si>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</si>
  <si>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</si>
  <si>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</si>
  <si>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</si>
  <si>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</si>
  <si>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</si>
  <si>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</si>
  <si>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</si>
  <si>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</si>
  <si>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</si>
  <si>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</si>
  <si>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</si>
  <si>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</si>
  <si>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</si>
  <si>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</si>
  <si>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</si>
  <si>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</si>
  <si>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</si>
  <si>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</si>
  <si>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</si>
  <si>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</si>
  <si>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</si>
  <si>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</si>
  <si>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</si>
  <si>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</si>
  <si>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</si>
  <si>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</si>
  <si>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</si>
  <si>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</si>
  <si>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</si>
  <si>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</si>
  <si>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</si>
  <si>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</si>
  <si>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</si>
  <si>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</si>
  <si>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</si>
  <si>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</si>
  <si>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</si>
  <si>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</si>
  <si>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</si>
  <si>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</si>
  <si>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</si>
  <si>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</si>
  <si>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</si>
  <si>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</si>
  <si>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</si>
  <si>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</si>
  <si>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</si>
  <si>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</si>
  <si>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</si>
  <si>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</si>
  <si>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</si>
  <si>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</si>
  <si>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</si>
  <si>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</si>
  <si>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</si>
  <si>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</si>
  <si>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</si>
  <si>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</si>
  <si>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</si>
  <si>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</si>
  <si>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</si>
  <si>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</si>
  <si>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</si>
  <si>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</si>
  <si>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</si>
  <si>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</si>
  <si>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</si>
  <si>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</si>
  <si>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</si>
  <si>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</si>
  <si>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</si>
  <si>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</si>
  <si>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612,622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</si>
  <si>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</si>
  <si>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</si>
  <si>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</si>
  <si>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</si>
  <si>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</si>
  <si>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</si>
  <si>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</si>
  <si>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</si>
  <si>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</si>
  <si>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</si>
  <si>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</si>
  <si>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</si>
  <si>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</si>
  <si>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</si>
  <si>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</si>
  <si>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</si>
  <si>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</si>
  <si>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</si>
  <si>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</si>
  <si>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</si>
  <si>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</si>
  <si>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</si>
  <si>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</si>
  <si>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</si>
  <si>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</si>
  <si>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</si>
  <si>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0703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</si>
  <si>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</si>
  <si>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</si>
  <si>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</si>
  <si>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</si>
  <si>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</si>
  <si>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</si>
  <si>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</si>
  <si>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</si>
  <si>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</si>
  <si>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</si>
  <si>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</si>
  <si>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</si>
  <si>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</si>
  <si>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</si>
  <si>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</si>
  <si>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</si>
  <si>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</si>
  <si>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</si>
  <si>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</si>
  <si>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</si>
  <si>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</si>
  <si>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</si>
  <si>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</si>
  <si>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</si>
  <si>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</si>
  <si>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</si>
  <si>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</si>
  <si>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</si>
  <si>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</si>
  <si>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</si>
  <si>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</si>
  <si>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</si>
  <si>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</si>
  <si>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</si>
  <si>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</si>
  <si>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</si>
  <si>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</si>
  <si>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</si>
  <si>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</si>
  <si>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</si>
  <si>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</si>
  <si>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</si>
  <si>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</si>
  <si>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</si>
  <si>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</si>
  <si>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</si>
  <si>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</si>
  <si>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</si>
  <si>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</si>
  <si>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</si>
  <si>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</si>
  <si>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</si>
  <si>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</si>
  <si>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</si>
  <si>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</si>
  <si>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</si>
  <si>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</si>
  <si>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</si>
  <si>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</si>
  <si>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</si>
  <si>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</si>
  <si>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</si>
  <si>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</si>
  <si>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</si>
  <si>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</si>
  <si>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</si>
  <si>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</si>
  <si>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</si>
  <si>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</si>
  <si>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</si>
  <si>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</si>
  <si>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</si>
  <si>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</si>
  <si>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</si>
  <si>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</si>
  <si>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</si>
  <si>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</si>
  <si>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</si>
  <si>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</si>
  <si>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</si>
  <si>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</si>
  <si>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</si>
  <si>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</si>
  <si>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</si>
  <si>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</si>
  <si>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</si>
  <si>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</si>
  <si>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</si>
  <si>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</si>
  <si>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</si>
  <si>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</si>
  <si>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01300S649Д, 0130076490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</si>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</sst>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  <numFmt numFmtId="168" formatCode="_-* #,##0.00_р_._-;\-* #,##0.00_р_._-;_-* &quot;-&quot;??_р_._-;_-@_-"/>
    <numFmt numFmtId="169" formatCode="0.00000000"/>
    <numFmt numFmtId="170" formatCode="0.0000000000"/>
    <numFmt numFmtId="171" formatCode="#,##0.0_ ;\-#,##0.0\ "/>
    <numFmt numFmtId="172" formatCode="_-* #,##0.00_р_._-;\-* #,##0.00_р_._-;_-* &quot;-&quot;?_р_._-;_-@_-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8" fontId="1" fillId="0" borderId="0" applyFont="0" applyFill="0" applyBorder="0" applyAlignment="0" applyProtection="0"/>
  </cellStyleXfs>
  <cellXfs count="511">
    <xf numFmtId="0" fontId="0" fillId="0" borderId="0" xfId="0"/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left" vertical="top" wrapText="1"/>
    </xf>
    <xf numFmtId="0" fontId="4" fillId="0" borderId="0" xfId="1" applyFont="1" applyFill="1"/>
    <xf numFmtId="0" fontId="5" fillId="0" borderId="0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2" borderId="0" xfId="1" applyNumberFormat="1" applyFont="1" applyFill="1" applyBorder="1" applyAlignment="1">
      <alignment horizontal="left" vertical="center" wrapText="1"/>
    </xf>
    <xf numFmtId="0" fontId="2" fillId="2" borderId="0" xfId="1" applyFont="1" applyFill="1"/>
    <xf numFmtId="0" fontId="6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 inden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top" wrapText="1" indent="1"/>
    </xf>
    <xf numFmtId="3" fontId="2" fillId="0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top" wrapText="1" inden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1" fontId="2" fillId="4" borderId="1" xfId="1" applyNumberFormat="1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2" borderId="0" xfId="1" applyFont="1" applyFill="1" applyBorder="1"/>
    <xf numFmtId="0" fontId="2" fillId="2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center" wrapText="1"/>
    </xf>
    <xf numFmtId="0" fontId="4" fillId="0" borderId="0" xfId="1" applyFont="1" applyFill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left" vertical="center" wrapText="1"/>
    </xf>
    <xf numFmtId="0" fontId="5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Border="1" applyAlignment="1">
      <alignment horizontal="right" wrapText="1"/>
    </xf>
    <xf numFmtId="0" fontId="1" fillId="2" borderId="0" xfId="1" applyFill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3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5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66" fontId="2" fillId="2" borderId="1" xfId="1" applyNumberFormat="1" applyFont="1" applyFill="1" applyBorder="1"/>
    <xf numFmtId="166" fontId="2" fillId="0" borderId="1" xfId="1" applyNumberFormat="1" applyFont="1" applyFill="1" applyBorder="1"/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" xfId="1" applyFont="1" applyBorder="1"/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 wrapText="1"/>
    </xf>
    <xf numFmtId="49" fontId="2" fillId="5" borderId="1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/>
    <xf numFmtId="49" fontId="2" fillId="0" borderId="1" xfId="1" applyNumberFormat="1" applyFont="1" applyFill="1" applyBorder="1"/>
    <xf numFmtId="0" fontId="2" fillId="2" borderId="1" xfId="1" applyFont="1" applyFill="1" applyBorder="1"/>
    <xf numFmtId="0" fontId="2" fillId="0" borderId="3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4" fontId="2" fillId="2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Fill="1"/>
    <xf numFmtId="167" fontId="2" fillId="0" borderId="0" xfId="1" applyNumberFormat="1" applyFont="1" applyFill="1"/>
    <xf numFmtId="167" fontId="2" fillId="0" borderId="0" xfId="1" applyNumberFormat="1" applyFont="1"/>
    <xf numFmtId="0" fontId="12" fillId="0" borderId="0" xfId="1" applyFont="1" applyFill="1"/>
    <xf numFmtId="0" fontId="12" fillId="2" borderId="0" xfId="1" applyFont="1" applyFill="1"/>
    <xf numFmtId="0" fontId="13" fillId="0" borderId="0" xfId="1" applyFont="1" applyFill="1" applyAlignment="1">
      <alignment horizontal="left" vertical="top" wrapText="1"/>
    </xf>
    <xf numFmtId="0" fontId="13" fillId="0" borderId="0" xfId="1" applyFont="1" applyFill="1" applyAlignment="1">
      <alignment vertical="top" wrapText="1"/>
    </xf>
    <xf numFmtId="0" fontId="5" fillId="0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center" wrapText="1"/>
    </xf>
    <xf numFmtId="4" fontId="2" fillId="0" borderId="1" xfId="2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top" wrapText="1" indent="1"/>
    </xf>
    <xf numFmtId="0" fontId="13" fillId="2" borderId="1" xfId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left" vertical="top" wrapText="1" indent="2"/>
    </xf>
    <xf numFmtId="0" fontId="13" fillId="2" borderId="1" xfId="1" applyFont="1" applyFill="1" applyBorder="1" applyAlignment="1">
      <alignment horizontal="left" vertical="top" wrapText="1"/>
    </xf>
    <xf numFmtId="4" fontId="13" fillId="2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/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8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5" fillId="0" borderId="2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2" fillId="2" borderId="1" xfId="1" applyFont="1" applyFill="1" applyBorder="1" applyAlignment="1">
      <alignment horizontal="left" vertical="center" wrapText="1"/>
    </xf>
    <xf numFmtId="164" fontId="2" fillId="4" borderId="1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 wrapText="1"/>
    </xf>
    <xf numFmtId="0" fontId="5" fillId="2" borderId="7" xfId="1" applyFont="1" applyFill="1" applyBorder="1" applyAlignment="1">
      <alignment horizontal="left" wrapText="1"/>
    </xf>
    <xf numFmtId="0" fontId="5" fillId="2" borderId="6" xfId="1" applyFont="1" applyFill="1" applyBorder="1" applyAlignment="1">
      <alignment horizontal="left" wrapText="1"/>
    </xf>
    <xf numFmtId="164" fontId="2" fillId="0" borderId="0" xfId="1" applyNumberFormat="1" applyFont="1"/>
    <xf numFmtId="169" fontId="2" fillId="0" borderId="0" xfId="1" applyNumberFormat="1" applyFont="1"/>
    <xf numFmtId="164" fontId="2" fillId="2" borderId="1" xfId="1" applyNumberFormat="1" applyFont="1" applyFill="1" applyBorder="1" applyAlignment="1">
      <alignment vertical="center"/>
    </xf>
    <xf numFmtId="164" fontId="2" fillId="2" borderId="0" xfId="1" applyNumberFormat="1" applyFont="1" applyFill="1"/>
    <xf numFmtId="2" fontId="2" fillId="0" borderId="0" xfId="1" applyNumberFormat="1" applyFont="1"/>
    <xf numFmtId="170" fontId="2" fillId="0" borderId="0" xfId="1" applyNumberFormat="1" applyFont="1"/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0" xfId="1" applyNumberFormat="1" applyFont="1" applyFill="1"/>
    <xf numFmtId="0" fontId="2" fillId="0" borderId="0" xfId="1" applyFont="1" applyAlignment="1">
      <alignment horizontal="right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0" fontId="1" fillId="0" borderId="9" xfId="1" applyFill="1" applyBorder="1"/>
    <xf numFmtId="0" fontId="1" fillId="0" borderId="9" xfId="1" applyBorder="1"/>
    <xf numFmtId="49" fontId="2" fillId="0" borderId="4" xfId="1" applyNumberFormat="1" applyFont="1" applyFill="1" applyBorder="1" applyAlignment="1">
      <alignment horizontal="center" vertical="center" wrapText="1"/>
    </xf>
    <xf numFmtId="0" fontId="1" fillId="0" borderId="4" xfId="1" applyFill="1" applyBorder="1"/>
    <xf numFmtId="0" fontId="1" fillId="0" borderId="4" xfId="1" applyBorder="1"/>
    <xf numFmtId="0" fontId="2" fillId="2" borderId="4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14" fillId="0" borderId="0" xfId="1" applyFont="1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 wrapText="1"/>
    </xf>
    <xf numFmtId="4" fontId="2" fillId="3" borderId="1" xfId="1" applyNumberFormat="1" applyFont="1" applyFill="1" applyBorder="1" applyAlignment="1">
      <alignment horizontal="right" wrapText="1"/>
    </xf>
    <xf numFmtId="49" fontId="2" fillId="0" borderId="9" xfId="1" applyNumberFormat="1" applyFont="1" applyFill="1" applyBorder="1" applyAlignment="1">
      <alignment horizontal="left" vertical="top" wrapText="1"/>
    </xf>
    <xf numFmtId="49" fontId="2" fillId="0" borderId="4" xfId="1" applyNumberFormat="1" applyFont="1" applyFill="1" applyBorder="1" applyAlignment="1">
      <alignment horizontal="left" vertical="top" wrapText="1"/>
    </xf>
    <xf numFmtId="0" fontId="2" fillId="0" borderId="3" xfId="1" applyNumberFormat="1" applyFont="1" applyFill="1" applyBorder="1" applyAlignment="1">
      <alignment horizontal="left" vertical="top" wrapText="1"/>
    </xf>
    <xf numFmtId="0" fontId="2" fillId="0" borderId="9" xfId="1" applyNumberFormat="1" applyFont="1" applyFill="1" applyBorder="1" applyAlignment="1">
      <alignment horizontal="left" vertical="top" wrapText="1"/>
    </xf>
    <xf numFmtId="4" fontId="2" fillId="2" borderId="1" xfId="1" applyNumberFormat="1" applyFont="1" applyFill="1" applyBorder="1" applyAlignment="1">
      <alignment horizontal="right"/>
    </xf>
    <xf numFmtId="4" fontId="2" fillId="3" borderId="1" xfId="1" applyNumberFormat="1" applyFont="1" applyFill="1" applyBorder="1" applyAlignment="1">
      <alignment horizontal="right"/>
    </xf>
    <xf numFmtId="0" fontId="2" fillId="0" borderId="4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49" fontId="2" fillId="0" borderId="9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top" wrapText="1"/>
    </xf>
    <xf numFmtId="49" fontId="2" fillId="0" borderId="4" xfId="1" applyNumberFormat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center" wrapText="1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left" vertical="center" wrapText="1"/>
    </xf>
    <xf numFmtId="49" fontId="2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49" fontId="3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9" fontId="3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" fontId="17" fillId="2" borderId="1" xfId="1" applyNumberFormat="1" applyFont="1" applyFill="1" applyBorder="1" applyAlignment="1">
      <alignment horizontal="right"/>
    </xf>
    <xf numFmtId="0" fontId="1" fillId="0" borderId="4" xfId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left" vertical="top"/>
    </xf>
    <xf numFmtId="0" fontId="2" fillId="0" borderId="6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top" wrapText="1"/>
    </xf>
    <xf numFmtId="4" fontId="2" fillId="4" borderId="1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166" fontId="18" fillId="2" borderId="0" xfId="2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171" fontId="2" fillId="2" borderId="0" xfId="1" applyNumberFormat="1" applyFont="1" applyFill="1" applyBorder="1"/>
    <xf numFmtId="0" fontId="3" fillId="0" borderId="0" xfId="1" applyFont="1" applyFill="1" applyBorder="1" applyAlignment="1"/>
    <xf numFmtId="0" fontId="3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0" fontId="2" fillId="2" borderId="0" xfId="1" applyFont="1" applyFill="1" applyAlignment="1">
      <alignment horizontal="center" vertical="top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14" fillId="2" borderId="0" xfId="1" applyFont="1" applyFill="1"/>
    <xf numFmtId="0" fontId="2" fillId="0" borderId="1" xfId="1" applyFont="1" applyBorder="1" applyAlignment="1">
      <alignment horizontal="justify" vertical="center" wrapText="1"/>
    </xf>
    <xf numFmtId="2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wrapText="1"/>
    </xf>
    <xf numFmtId="2" fontId="2" fillId="0" borderId="2" xfId="1" applyNumberFormat="1" applyFont="1" applyFill="1" applyBorder="1" applyAlignment="1">
      <alignment horizontal="center" vertical="center" wrapText="1"/>
    </xf>
    <xf numFmtId="49" fontId="20" fillId="0" borderId="0" xfId="1" applyNumberFormat="1" applyFont="1" applyFill="1" applyAlignment="1">
      <alignment vertical="center"/>
    </xf>
    <xf numFmtId="0" fontId="20" fillId="0" borderId="0" xfId="1" applyFont="1" applyFill="1"/>
    <xf numFmtId="0" fontId="20" fillId="0" borderId="0" xfId="1" applyFont="1" applyFill="1" applyAlignment="1"/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168" fontId="2" fillId="2" borderId="0" xfId="1" applyNumberFormat="1" applyFont="1" applyFill="1" applyBorder="1" applyAlignment="1">
      <alignment horizontal="left"/>
    </xf>
    <xf numFmtId="0" fontId="3" fillId="0" borderId="0" xfId="1" applyFont="1" applyFill="1" applyAlignment="1">
      <alignment vertical="top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2" fontId="2" fillId="2" borderId="0" xfId="1" applyNumberFormat="1" applyFont="1" applyFill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2" fontId="2" fillId="0" borderId="3" xfId="1" applyNumberFormat="1" applyFont="1" applyFill="1" applyBorder="1" applyAlignment="1">
      <alignment horizontal="center" vertical="top" wrapText="1"/>
    </xf>
    <xf numFmtId="0" fontId="16" fillId="2" borderId="9" xfId="1" applyFont="1" applyFill="1" applyBorder="1" applyAlignment="1">
      <alignment horizontal="center" vertical="center" wrapText="1"/>
    </xf>
    <xf numFmtId="2" fontId="2" fillId="0" borderId="9" xfId="1" applyNumberFormat="1" applyFont="1" applyFill="1" applyBorder="1" applyAlignment="1">
      <alignment horizontal="center" vertical="top" wrapText="1"/>
    </xf>
    <xf numFmtId="0" fontId="16" fillId="2" borderId="4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2" fontId="2" fillId="0" borderId="4" xfId="1" applyNumberFormat="1" applyFont="1" applyFill="1" applyBorder="1" applyAlignment="1">
      <alignment horizontal="center" vertical="top" wrapText="1"/>
    </xf>
    <xf numFmtId="0" fontId="16" fillId="2" borderId="9" xfId="1" applyFont="1" applyFill="1" applyBorder="1" applyAlignment="1">
      <alignment horizontal="center" vertical="center" wrapText="1"/>
    </xf>
    <xf numFmtId="0" fontId="2" fillId="3" borderId="0" xfId="1" applyFont="1" applyFill="1"/>
    <xf numFmtId="49" fontId="2" fillId="2" borderId="1" xfId="1" applyNumberFormat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4" fontId="2" fillId="3" borderId="1" xfId="1" applyNumberFormat="1" applyFont="1" applyFill="1" applyBorder="1" applyAlignment="1">
      <alignment horizontal="right" vertical="center"/>
    </xf>
    <xf numFmtId="4" fontId="2" fillId="0" borderId="0" xfId="1" applyNumberFormat="1" applyFont="1" applyFill="1"/>
    <xf numFmtId="170" fontId="2" fillId="0" borderId="0" xfId="1" applyNumberFormat="1" applyFont="1" applyFill="1"/>
    <xf numFmtId="49" fontId="2" fillId="2" borderId="1" xfId="1" applyNumberFormat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49" fontId="14" fillId="2" borderId="1" xfId="1" applyNumberFormat="1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/>
    </xf>
    <xf numFmtId="0" fontId="23" fillId="0" borderId="13" xfId="1" applyFont="1" applyFill="1" applyBorder="1" applyAlignment="1">
      <alignment horizontal="center" textRotation="90"/>
    </xf>
    <xf numFmtId="0" fontId="23" fillId="0" borderId="0" xfId="1" applyFont="1" applyFill="1" applyAlignment="1">
      <alignment vertical="top" wrapText="1"/>
    </xf>
    <xf numFmtId="0" fontId="23" fillId="0" borderId="0" xfId="1" applyFont="1" applyFill="1" applyBorder="1" applyAlignment="1">
      <alignment horizontal="center" textRotation="90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/>
    </xf>
    <xf numFmtId="0" fontId="9" fillId="2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 vertical="center"/>
    </xf>
    <xf numFmtId="0" fontId="16" fillId="2" borderId="4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left" vertical="top"/>
    </xf>
    <xf numFmtId="4" fontId="17" fillId="2" borderId="1" xfId="1" applyNumberFormat="1" applyFont="1" applyFill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top"/>
    </xf>
    <xf numFmtId="49" fontId="16" fillId="2" borderId="1" xfId="1" applyNumberFormat="1" applyFont="1" applyFill="1" applyBorder="1" applyAlignment="1">
      <alignment horizontal="left" vertical="center"/>
    </xf>
    <xf numFmtId="0" fontId="16" fillId="6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 wrapText="1"/>
    </xf>
    <xf numFmtId="49" fontId="3" fillId="2" borderId="9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0" fillId="2" borderId="1" xfId="1" applyNumberFormat="1" applyFont="1" applyFill="1" applyBorder="1" applyAlignment="1">
      <alignment horizontal="left" vertical="top"/>
    </xf>
    <xf numFmtId="0" fontId="20" fillId="2" borderId="1" xfId="1" applyNumberFormat="1" applyFont="1" applyFill="1" applyBorder="1" applyAlignment="1">
      <alignment horizontal="center" vertical="top"/>
    </xf>
    <xf numFmtId="4" fontId="20" fillId="2" borderId="1" xfId="1" applyNumberFormat="1" applyFont="1" applyFill="1" applyBorder="1" applyAlignment="1">
      <alignment horizontal="right" vertical="center"/>
    </xf>
    <xf numFmtId="4" fontId="20" fillId="2" borderId="1" xfId="1" applyNumberFormat="1" applyFont="1" applyFill="1" applyBorder="1"/>
    <xf numFmtId="0" fontId="20" fillId="2" borderId="1" xfId="1" applyFont="1" applyFill="1" applyBorder="1" applyAlignment="1">
      <alignment horizontal="center" vertical="top" wrapText="1"/>
    </xf>
    <xf numFmtId="0" fontId="20" fillId="2" borderId="1" xfId="1" applyFont="1" applyFill="1" applyBorder="1"/>
    <xf numFmtId="0" fontId="2" fillId="0" borderId="0" xfId="1" applyFont="1" applyFill="1" applyAlignment="1">
      <alignment vertical="center"/>
    </xf>
    <xf numFmtId="4" fontId="20" fillId="2" borderId="1" xfId="1" applyNumberFormat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left"/>
    </xf>
    <xf numFmtId="0" fontId="15" fillId="2" borderId="0" xfId="1" applyFont="1" applyFill="1" applyBorder="1" applyAlignment="1">
      <alignment horizontal="left"/>
    </xf>
    <xf numFmtId="4" fontId="15" fillId="2" borderId="0" xfId="1" applyNumberFormat="1" applyFont="1" applyFill="1" applyBorder="1" applyAlignment="1">
      <alignment horizontal="left"/>
    </xf>
    <xf numFmtId="165" fontId="15" fillId="2" borderId="0" xfId="1" applyNumberFormat="1" applyFont="1" applyFill="1" applyBorder="1" applyAlignment="1">
      <alignment horizontal="left"/>
    </xf>
    <xf numFmtId="0" fontId="15" fillId="0" borderId="0" xfId="1" applyFont="1" applyFill="1" applyBorder="1" applyAlignment="1">
      <alignment horizontal="right"/>
    </xf>
    <xf numFmtId="49" fontId="2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left" vertical="top"/>
    </xf>
    <xf numFmtId="164" fontId="2" fillId="2" borderId="0" xfId="1" applyNumberFormat="1" applyFont="1" applyFill="1" applyAlignment="1">
      <alignment horizontal="center" vertical="top"/>
    </xf>
    <xf numFmtId="4" fontId="2" fillId="2" borderId="0" xfId="1" applyNumberFormat="1" applyFont="1" applyFill="1" applyAlignment="1">
      <alignment horizontal="center" vertical="top"/>
    </xf>
    <xf numFmtId="4" fontId="2" fillId="2" borderId="0" xfId="1" applyNumberFormat="1" applyFont="1" applyFill="1"/>
    <xf numFmtId="49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165" fontId="13" fillId="0" borderId="0" xfId="1" applyNumberFormat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/>
    </xf>
    <xf numFmtId="172" fontId="2" fillId="0" borderId="1" xfId="1" applyNumberFormat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171" fontId="2" fillId="0" borderId="1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25" fillId="0" borderId="1" xfId="1" applyFont="1" applyFill="1" applyBorder="1" applyAlignment="1">
      <alignment horizontal="left" vertical="center"/>
    </xf>
    <xf numFmtId="49" fontId="13" fillId="2" borderId="3" xfId="1" applyNumberFormat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left" vertical="top" wrapText="1"/>
    </xf>
    <xf numFmtId="172" fontId="2" fillId="2" borderId="1" xfId="1" applyNumberFormat="1" applyFont="1" applyFill="1" applyBorder="1" applyAlignment="1">
      <alignment horizontal="center" vertical="center"/>
    </xf>
    <xf numFmtId="49" fontId="13" fillId="2" borderId="4" xfId="1" applyNumberFormat="1" applyFont="1" applyFill="1" applyBorder="1" applyAlignment="1">
      <alignment horizontal="center" vertical="top"/>
    </xf>
    <xf numFmtId="0" fontId="2" fillId="2" borderId="4" xfId="1" applyFont="1" applyFill="1" applyBorder="1" applyAlignment="1">
      <alignment horizontal="left" vertical="top" wrapText="1"/>
    </xf>
    <xf numFmtId="0" fontId="13" fillId="2" borderId="3" xfId="1" applyFont="1" applyFill="1" applyBorder="1" applyAlignment="1">
      <alignment horizontal="left" vertical="top" wrapText="1"/>
    </xf>
    <xf numFmtId="0" fontId="13" fillId="2" borderId="4" xfId="1" applyFont="1" applyFill="1" applyBorder="1" applyAlignment="1">
      <alignment horizontal="left" vertical="top" wrapText="1"/>
    </xf>
    <xf numFmtId="49" fontId="13" fillId="2" borderId="3" xfId="1" applyNumberFormat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top" wrapText="1"/>
    </xf>
    <xf numFmtId="49" fontId="13" fillId="2" borderId="9" xfId="1" applyNumberFormat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0" fontId="14" fillId="2" borderId="9" xfId="1" applyFont="1" applyFill="1" applyBorder="1" applyAlignment="1">
      <alignment horizontal="center" vertical="top" wrapText="1"/>
    </xf>
    <xf numFmtId="49" fontId="13" fillId="2" borderId="4" xfId="1" applyNumberFormat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top"/>
    </xf>
    <xf numFmtId="0" fontId="13" fillId="0" borderId="0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center" vertical="top" wrapText="1"/>
    </xf>
    <xf numFmtId="166" fontId="26" fillId="0" borderId="0" xfId="2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/>
    <xf numFmtId="166" fontId="2" fillId="2" borderId="0" xfId="1" applyNumberFormat="1" applyFont="1" applyFill="1" applyBorder="1"/>
    <xf numFmtId="0" fontId="13" fillId="0" borderId="0" xfId="1" applyFont="1" applyFill="1" applyBorder="1"/>
    <xf numFmtId="0" fontId="27" fillId="0" borderId="0" xfId="1" applyFont="1" applyFill="1" applyBorder="1" applyAlignment="1">
      <alignment horizontal="left"/>
    </xf>
    <xf numFmtId="0" fontId="27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right"/>
    </xf>
    <xf numFmtId="0" fontId="20" fillId="2" borderId="0" xfId="1" applyFont="1" applyFill="1"/>
    <xf numFmtId="0" fontId="27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right"/>
    </xf>
    <xf numFmtId="0" fontId="29" fillId="0" borderId="0" xfId="1" applyFont="1" applyFill="1"/>
    <xf numFmtId="0" fontId="30" fillId="0" borderId="0" xfId="1" applyFont="1" applyFill="1"/>
    <xf numFmtId="0" fontId="23" fillId="0" borderId="0" xfId="1" applyFont="1" applyFill="1"/>
    <xf numFmtId="0" fontId="4" fillId="0" borderId="1" xfId="1" applyFont="1" applyFill="1" applyBorder="1"/>
    <xf numFmtId="0" fontId="2" fillId="7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/>
    <xf numFmtId="0" fontId="2" fillId="0" borderId="0" xfId="1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right" vertical="center"/>
    </xf>
    <xf numFmtId="166" fontId="2" fillId="2" borderId="3" xfId="1" applyNumberFormat="1" applyFont="1" applyFill="1" applyBorder="1" applyAlignment="1">
      <alignment horizontal="right" vertical="center"/>
    </xf>
    <xf numFmtId="166" fontId="2" fillId="3" borderId="3" xfId="1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right" vertical="center"/>
    </xf>
    <xf numFmtId="166" fontId="2" fillId="3" borderId="1" xfId="1" applyNumberFormat="1" applyFont="1" applyFill="1" applyBorder="1" applyAlignment="1">
      <alignment horizontal="right" vertical="center"/>
    </xf>
    <xf numFmtId="49" fontId="3" fillId="0" borderId="9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top" wrapText="1"/>
    </xf>
    <xf numFmtId="0" fontId="20" fillId="0" borderId="1" xfId="1" applyFont="1" applyFill="1" applyBorder="1"/>
    <xf numFmtId="0" fontId="20" fillId="0" borderId="1" xfId="1" applyNumberFormat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vertical="center" wrapText="1"/>
    </xf>
    <xf numFmtId="0" fontId="31" fillId="0" borderId="0" xfId="1" applyFont="1" applyFill="1" applyBorder="1" applyAlignment="1">
      <alignment horizontal="left" wrapText="1"/>
    </xf>
    <xf numFmtId="0" fontId="31" fillId="0" borderId="0" xfId="1" applyFont="1" applyFill="1" applyBorder="1" applyAlignment="1">
      <alignment horizontal="left"/>
    </xf>
    <xf numFmtId="0" fontId="32" fillId="0" borderId="0" xfId="1" applyFont="1" applyFill="1" applyBorder="1" applyAlignment="1">
      <alignment horizontal="right"/>
    </xf>
    <xf numFmtId="0" fontId="32" fillId="0" borderId="0" xfId="1" applyFont="1" applyFill="1"/>
    <xf numFmtId="0" fontId="32" fillId="0" borderId="0" xfId="1" applyFont="1" applyFill="1" applyAlignment="1">
      <alignment horizontal="center" vertical="center"/>
    </xf>
    <xf numFmtId="167" fontId="32" fillId="0" borderId="0" xfId="1" applyNumberFormat="1" applyFont="1" applyFill="1"/>
    <xf numFmtId="167" fontId="32" fillId="2" borderId="0" xfId="1" applyNumberFormat="1" applyFont="1" applyFill="1"/>
    <xf numFmtId="0" fontId="32" fillId="2" borderId="0" xfId="1" applyFont="1" applyFill="1"/>
    <xf numFmtId="0" fontId="31" fillId="0" borderId="0" xfId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view="pageBreakPreview" zoomScaleNormal="100" zoomScaleSheetLayoutView="100" workbookViewId="0">
      <pane xSplit="2" ySplit="6" topLeftCell="C67" activePane="bottomRight" state="frozen"/>
      <selection activeCell="D17" sqref="D17"/>
      <selection pane="topRight" activeCell="D17" sqref="D17"/>
      <selection pane="bottomLeft" activeCell="D17" sqref="D17"/>
      <selection pane="bottomRight" activeCell="E68" sqref="E68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11.85546875" style="4" customWidth="1"/>
    <col min="5" max="5" width="26.140625" style="4" customWidth="1"/>
    <col min="6" max="6" width="11.42578125" style="4" hidden="1" customWidth="1"/>
    <col min="7" max="13" width="10.7109375" style="4" customWidth="1"/>
    <col min="14" max="15" width="10.7109375" style="6" customWidth="1"/>
    <col min="16" max="16384" width="9.140625" style="4"/>
  </cols>
  <sheetData>
    <row r="1" spans="1:16" ht="65.25" customHeight="1" x14ac:dyDescent="0.25">
      <c r="B1" s="2"/>
      <c r="C1" s="3"/>
      <c r="D1" s="2"/>
      <c r="E1" s="2"/>
      <c r="G1" s="5" t="s">
        <v>0</v>
      </c>
      <c r="H1" s="5"/>
      <c r="I1" s="5"/>
      <c r="J1" s="5"/>
      <c r="K1" s="5"/>
      <c r="L1" s="5"/>
      <c r="M1" s="5"/>
    </row>
    <row r="2" spans="1:16" ht="37.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x14ac:dyDescent="0.2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pans="1:16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9" t="s">
        <v>18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6" ht="47.25" x14ac:dyDescent="0.25">
      <c r="A7" s="11">
        <v>1</v>
      </c>
      <c r="B7" s="12" t="s">
        <v>19</v>
      </c>
      <c r="C7" s="13" t="s">
        <v>20</v>
      </c>
      <c r="D7" s="14" t="s">
        <v>21</v>
      </c>
      <c r="E7" s="15" t="s">
        <v>22</v>
      </c>
      <c r="F7" s="16"/>
      <c r="G7" s="17">
        <v>95</v>
      </c>
      <c r="H7" s="17">
        <v>95</v>
      </c>
      <c r="I7" s="17">
        <v>96</v>
      </c>
      <c r="J7" s="17">
        <v>96</v>
      </c>
      <c r="K7" s="17">
        <v>96</v>
      </c>
      <c r="L7" s="17">
        <v>96</v>
      </c>
      <c r="M7" s="17">
        <v>96</v>
      </c>
      <c r="N7" s="17">
        <v>96</v>
      </c>
      <c r="O7" s="17">
        <f>N7</f>
        <v>96</v>
      </c>
      <c r="P7" s="18">
        <f>O7</f>
        <v>96</v>
      </c>
    </row>
    <row r="8" spans="1:16" ht="63" x14ac:dyDescent="0.25">
      <c r="A8" s="11" t="s">
        <v>23</v>
      </c>
      <c r="B8" s="12" t="s">
        <v>24</v>
      </c>
      <c r="C8" s="13" t="s">
        <v>20</v>
      </c>
      <c r="D8" s="14" t="s">
        <v>21</v>
      </c>
      <c r="E8" s="15" t="s">
        <v>25</v>
      </c>
      <c r="F8" s="19">
        <v>80</v>
      </c>
      <c r="G8" s="20">
        <v>91.3</v>
      </c>
      <c r="H8" s="20">
        <v>100</v>
      </c>
      <c r="I8" s="20">
        <v>100</v>
      </c>
      <c r="J8" s="20">
        <v>100</v>
      </c>
      <c r="K8" s="20">
        <v>100</v>
      </c>
      <c r="L8" s="20">
        <v>100</v>
      </c>
      <c r="M8" s="20">
        <v>100</v>
      </c>
      <c r="N8" s="20">
        <v>100</v>
      </c>
      <c r="O8" s="17">
        <f t="shared" ref="O8:P10" si="0">N8</f>
        <v>100</v>
      </c>
      <c r="P8" s="18">
        <f t="shared" si="0"/>
        <v>100</v>
      </c>
    </row>
    <row r="9" spans="1:16" ht="63" x14ac:dyDescent="0.25">
      <c r="A9" s="11" t="s">
        <v>26</v>
      </c>
      <c r="B9" s="12" t="s">
        <v>27</v>
      </c>
      <c r="C9" s="14" t="s">
        <v>20</v>
      </c>
      <c r="D9" s="14" t="s">
        <v>21</v>
      </c>
      <c r="E9" s="14" t="s">
        <v>25</v>
      </c>
      <c r="F9" s="14">
        <v>1.96</v>
      </c>
      <c r="G9" s="21">
        <v>98.53</v>
      </c>
      <c r="H9" s="21">
        <v>98.6</v>
      </c>
      <c r="I9" s="21">
        <v>98.6</v>
      </c>
      <c r="J9" s="21">
        <v>100</v>
      </c>
      <c r="K9" s="21">
        <v>100</v>
      </c>
      <c r="L9" s="21">
        <v>100</v>
      </c>
      <c r="M9" s="21">
        <v>100</v>
      </c>
      <c r="N9" s="21">
        <v>100</v>
      </c>
      <c r="O9" s="17">
        <f t="shared" si="0"/>
        <v>100</v>
      </c>
      <c r="P9" s="18">
        <f t="shared" si="0"/>
        <v>100</v>
      </c>
    </row>
    <row r="10" spans="1:16" ht="47.25" x14ac:dyDescent="0.25">
      <c r="A10" s="11" t="s">
        <v>28</v>
      </c>
      <c r="B10" s="12" t="s">
        <v>29</v>
      </c>
      <c r="C10" s="13" t="s">
        <v>20</v>
      </c>
      <c r="D10" s="14" t="s">
        <v>21</v>
      </c>
      <c r="E10" s="14" t="s">
        <v>25</v>
      </c>
      <c r="F10" s="22">
        <v>60.5</v>
      </c>
      <c r="G10" s="23">
        <v>67</v>
      </c>
      <c r="H10" s="23">
        <v>83</v>
      </c>
      <c r="I10" s="23">
        <v>83</v>
      </c>
      <c r="J10" s="23">
        <v>83</v>
      </c>
      <c r="K10" s="23">
        <v>83</v>
      </c>
      <c r="L10" s="23">
        <v>83</v>
      </c>
      <c r="M10" s="23">
        <v>100</v>
      </c>
      <c r="N10" s="23">
        <v>100</v>
      </c>
      <c r="O10" s="17">
        <f t="shared" si="0"/>
        <v>100</v>
      </c>
      <c r="P10" s="18">
        <f t="shared" si="0"/>
        <v>100</v>
      </c>
    </row>
    <row r="11" spans="1:16" s="26" customFormat="1" x14ac:dyDescent="0.25">
      <c r="A11" s="24" t="s">
        <v>30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1:16" s="26" customFormat="1" x14ac:dyDescent="0.25">
      <c r="A12" s="24" t="s">
        <v>31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5"/>
    </row>
    <row r="13" spans="1:16" s="26" customFormat="1" x14ac:dyDescent="0.2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5"/>
    </row>
    <row r="14" spans="1:16" ht="31.5" x14ac:dyDescent="0.25">
      <c r="A14" s="11" t="s">
        <v>33</v>
      </c>
      <c r="B14" s="12" t="s">
        <v>34</v>
      </c>
      <c r="C14" s="20" t="s">
        <v>20</v>
      </c>
      <c r="D14" s="13">
        <v>0.03</v>
      </c>
      <c r="E14" s="27" t="s">
        <v>35</v>
      </c>
      <c r="F14" s="20">
        <v>64</v>
      </c>
      <c r="G14" s="20">
        <v>90.1</v>
      </c>
      <c r="H14" s="28">
        <v>97.5</v>
      </c>
      <c r="I14" s="28">
        <v>100</v>
      </c>
      <c r="J14" s="28">
        <v>100</v>
      </c>
      <c r="K14" s="28">
        <v>100</v>
      </c>
      <c r="L14" s="28">
        <v>100</v>
      </c>
      <c r="M14" s="28">
        <v>100</v>
      </c>
      <c r="N14" s="28">
        <v>100</v>
      </c>
      <c r="O14" s="28">
        <f>N14</f>
        <v>100</v>
      </c>
      <c r="P14" s="29">
        <f>O14</f>
        <v>100</v>
      </c>
    </row>
    <row r="15" spans="1:16" ht="63" x14ac:dyDescent="0.25">
      <c r="A15" s="11" t="s">
        <v>36</v>
      </c>
      <c r="B15" s="12" t="s">
        <v>37</v>
      </c>
      <c r="C15" s="20" t="s">
        <v>20</v>
      </c>
      <c r="D15" s="13">
        <v>0.03</v>
      </c>
      <c r="E15" s="27" t="s">
        <v>35</v>
      </c>
      <c r="F15" s="21">
        <v>78.8</v>
      </c>
      <c r="G15" s="21">
        <v>85</v>
      </c>
      <c r="H15" s="21">
        <v>97</v>
      </c>
      <c r="I15" s="28">
        <v>100</v>
      </c>
      <c r="J15" s="28">
        <v>100</v>
      </c>
      <c r="K15" s="28">
        <v>100</v>
      </c>
      <c r="L15" s="28">
        <v>100</v>
      </c>
      <c r="M15" s="28">
        <v>100</v>
      </c>
      <c r="N15" s="28">
        <v>100</v>
      </c>
      <c r="O15" s="28">
        <f t="shared" ref="O15:P17" si="1">N15</f>
        <v>100</v>
      </c>
      <c r="P15" s="29">
        <f t="shared" si="1"/>
        <v>100</v>
      </c>
    </row>
    <row r="16" spans="1:16" ht="94.5" x14ac:dyDescent="0.25">
      <c r="A16" s="11" t="s">
        <v>38</v>
      </c>
      <c r="B16" s="12" t="s">
        <v>39</v>
      </c>
      <c r="C16" s="20" t="s">
        <v>20</v>
      </c>
      <c r="D16" s="13">
        <v>0.03</v>
      </c>
      <c r="E16" s="27" t="s">
        <v>35</v>
      </c>
      <c r="F16" s="30" t="s">
        <v>40</v>
      </c>
      <c r="G16" s="20" t="s">
        <v>40</v>
      </c>
      <c r="H16" s="28">
        <v>0</v>
      </c>
      <c r="I16" s="28">
        <v>0</v>
      </c>
      <c r="J16" s="28">
        <v>100</v>
      </c>
      <c r="K16" s="28">
        <v>100</v>
      </c>
      <c r="L16" s="28">
        <v>100</v>
      </c>
      <c r="M16" s="28">
        <v>100</v>
      </c>
      <c r="N16" s="28">
        <v>100</v>
      </c>
      <c r="O16" s="28">
        <f t="shared" si="1"/>
        <v>100</v>
      </c>
      <c r="P16" s="29">
        <f t="shared" si="1"/>
        <v>100</v>
      </c>
    </row>
    <row r="17" spans="1:16" ht="78.75" x14ac:dyDescent="0.25">
      <c r="A17" s="11" t="s">
        <v>41</v>
      </c>
      <c r="B17" s="12" t="s">
        <v>42</v>
      </c>
      <c r="C17" s="20" t="s">
        <v>20</v>
      </c>
      <c r="D17" s="13">
        <v>0.02</v>
      </c>
      <c r="E17" s="27" t="s">
        <v>35</v>
      </c>
      <c r="F17" s="20" t="s">
        <v>40</v>
      </c>
      <c r="G17" s="20" t="s">
        <v>43</v>
      </c>
      <c r="H17" s="28" t="s">
        <v>44</v>
      </c>
      <c r="I17" s="28" t="s">
        <v>44</v>
      </c>
      <c r="J17" s="28" t="s">
        <v>44</v>
      </c>
      <c r="K17" s="28" t="s">
        <v>44</v>
      </c>
      <c r="L17" s="28" t="s">
        <v>44</v>
      </c>
      <c r="M17" s="28" t="s">
        <v>44</v>
      </c>
      <c r="N17" s="28" t="s">
        <v>44</v>
      </c>
      <c r="O17" s="28" t="str">
        <f t="shared" si="1"/>
        <v>80(10)</v>
      </c>
      <c r="P17" s="19" t="str">
        <f t="shared" si="1"/>
        <v>80(10)</v>
      </c>
    </row>
    <row r="18" spans="1:16" s="26" customFormat="1" x14ac:dyDescent="0.25">
      <c r="A18" s="24" t="s">
        <v>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5"/>
    </row>
    <row r="19" spans="1:16" s="26" customFormat="1" x14ac:dyDescent="0.25">
      <c r="A19" s="24" t="s">
        <v>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/>
    </row>
    <row r="20" spans="1:16" s="26" customFormat="1" x14ac:dyDescent="0.25">
      <c r="A20" s="24" t="s">
        <v>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/>
    </row>
    <row r="21" spans="1:16" ht="31.5" x14ac:dyDescent="0.25">
      <c r="A21" s="11" t="s">
        <v>48</v>
      </c>
      <c r="B21" s="12" t="s">
        <v>49</v>
      </c>
      <c r="C21" s="13" t="s">
        <v>20</v>
      </c>
      <c r="D21" s="13">
        <v>0.02</v>
      </c>
      <c r="E21" s="15" t="s">
        <v>25</v>
      </c>
      <c r="F21" s="13" t="s">
        <v>50</v>
      </c>
      <c r="G21" s="31">
        <v>71.400000000000006</v>
      </c>
      <c r="H21" s="31">
        <v>85.7</v>
      </c>
      <c r="I21" s="22">
        <v>85.7</v>
      </c>
      <c r="J21" s="22">
        <v>85.7</v>
      </c>
      <c r="K21" s="22">
        <v>85.7</v>
      </c>
      <c r="L21" s="22">
        <v>85.7</v>
      </c>
      <c r="M21" s="22">
        <v>85.7</v>
      </c>
      <c r="N21" s="22">
        <v>85.7</v>
      </c>
      <c r="O21" s="22">
        <f>N21</f>
        <v>85.7</v>
      </c>
      <c r="P21" s="18">
        <f>O21</f>
        <v>85.7</v>
      </c>
    </row>
    <row r="22" spans="1:16" ht="31.5" x14ac:dyDescent="0.25">
      <c r="A22" s="11" t="s">
        <v>51</v>
      </c>
      <c r="B22" s="12" t="s">
        <v>52</v>
      </c>
      <c r="C22" s="13" t="s">
        <v>20</v>
      </c>
      <c r="D22" s="13">
        <v>0.02</v>
      </c>
      <c r="E22" s="15" t="s">
        <v>25</v>
      </c>
      <c r="F22" s="13" t="s">
        <v>50</v>
      </c>
      <c r="G22" s="32">
        <v>75</v>
      </c>
      <c r="H22" s="32">
        <v>75</v>
      </c>
      <c r="I22" s="22">
        <v>75</v>
      </c>
      <c r="J22" s="22">
        <v>85</v>
      </c>
      <c r="K22" s="22">
        <v>85</v>
      </c>
      <c r="L22" s="22">
        <v>85</v>
      </c>
      <c r="M22" s="22">
        <v>85</v>
      </c>
      <c r="N22" s="22">
        <v>85</v>
      </c>
      <c r="O22" s="22">
        <f>N22</f>
        <v>85</v>
      </c>
      <c r="P22" s="18">
        <f>O22</f>
        <v>85</v>
      </c>
    </row>
    <row r="23" spans="1:16" ht="31.5" x14ac:dyDescent="0.25">
      <c r="A23" s="11" t="s">
        <v>53</v>
      </c>
      <c r="B23" s="12" t="s">
        <v>54</v>
      </c>
      <c r="C23" s="13" t="s">
        <v>55</v>
      </c>
      <c r="D23" s="13">
        <v>0.02</v>
      </c>
      <c r="E23" s="15" t="s">
        <v>25</v>
      </c>
      <c r="F23" s="13"/>
      <c r="G23" s="32">
        <v>8</v>
      </c>
      <c r="H23" s="32">
        <v>8</v>
      </c>
      <c r="I23" s="22">
        <v>8</v>
      </c>
      <c r="J23" s="22">
        <v>8</v>
      </c>
      <c r="K23" s="22">
        <v>8</v>
      </c>
      <c r="L23" s="22">
        <v>8</v>
      </c>
      <c r="M23" s="22">
        <v>8</v>
      </c>
      <c r="N23" s="22">
        <v>8</v>
      </c>
      <c r="O23" s="22">
        <f t="shared" ref="O23:P42" si="2">N23</f>
        <v>8</v>
      </c>
      <c r="P23" s="18">
        <f t="shared" si="2"/>
        <v>8</v>
      </c>
    </row>
    <row r="24" spans="1:16" ht="31.5" x14ac:dyDescent="0.25">
      <c r="A24" s="11" t="s">
        <v>56</v>
      </c>
      <c r="B24" s="12" t="s">
        <v>57</v>
      </c>
      <c r="C24" s="13" t="s">
        <v>20</v>
      </c>
      <c r="D24" s="13">
        <v>0.02</v>
      </c>
      <c r="E24" s="15" t="s">
        <v>25</v>
      </c>
      <c r="F24" s="13"/>
      <c r="G24" s="32">
        <v>100</v>
      </c>
      <c r="H24" s="32">
        <v>100</v>
      </c>
      <c r="I24" s="22">
        <v>100</v>
      </c>
      <c r="J24" s="22">
        <v>100</v>
      </c>
      <c r="K24" s="22">
        <v>100</v>
      </c>
      <c r="L24" s="22">
        <v>100</v>
      </c>
      <c r="M24" s="22">
        <v>100</v>
      </c>
      <c r="N24" s="22">
        <v>100</v>
      </c>
      <c r="O24" s="22">
        <f t="shared" si="2"/>
        <v>100</v>
      </c>
      <c r="P24" s="18">
        <f t="shared" si="2"/>
        <v>100</v>
      </c>
    </row>
    <row r="25" spans="1:16" ht="31.5" x14ac:dyDescent="0.25">
      <c r="A25" s="11" t="s">
        <v>58</v>
      </c>
      <c r="B25" s="12" t="s">
        <v>59</v>
      </c>
      <c r="C25" s="13" t="s">
        <v>55</v>
      </c>
      <c r="D25" s="13">
        <v>0.02</v>
      </c>
      <c r="E25" s="15" t="s">
        <v>25</v>
      </c>
      <c r="F25" s="13" t="s">
        <v>50</v>
      </c>
      <c r="G25" s="32">
        <v>7</v>
      </c>
      <c r="H25" s="32">
        <v>7</v>
      </c>
      <c r="I25" s="32">
        <v>7</v>
      </c>
      <c r="J25" s="32">
        <v>7</v>
      </c>
      <c r="K25" s="32">
        <v>7</v>
      </c>
      <c r="L25" s="32">
        <v>7</v>
      </c>
      <c r="M25" s="32">
        <v>7</v>
      </c>
      <c r="N25" s="32">
        <v>7</v>
      </c>
      <c r="O25" s="22">
        <f t="shared" si="2"/>
        <v>7</v>
      </c>
      <c r="P25" s="18">
        <f t="shared" si="2"/>
        <v>7</v>
      </c>
    </row>
    <row r="26" spans="1:16" s="26" customFormat="1" x14ac:dyDescent="0.25">
      <c r="A26" s="24" t="s">
        <v>60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2"/>
      <c r="P26" s="18"/>
    </row>
    <row r="27" spans="1:16" ht="31.5" x14ac:dyDescent="0.25">
      <c r="A27" s="11" t="s">
        <v>61</v>
      </c>
      <c r="B27" s="12" t="s">
        <v>62</v>
      </c>
      <c r="C27" s="14" t="s">
        <v>20</v>
      </c>
      <c r="D27" s="13">
        <v>0.02</v>
      </c>
      <c r="E27" s="14" t="s">
        <v>25</v>
      </c>
      <c r="F27" s="14">
        <v>15.6</v>
      </c>
      <c r="G27" s="32">
        <v>87.5</v>
      </c>
      <c r="H27" s="32">
        <v>100</v>
      </c>
      <c r="I27" s="32">
        <v>100</v>
      </c>
      <c r="J27" s="32">
        <v>100</v>
      </c>
      <c r="K27" s="32">
        <v>100</v>
      </c>
      <c r="L27" s="22">
        <v>100</v>
      </c>
      <c r="M27" s="22">
        <v>100</v>
      </c>
      <c r="N27" s="22">
        <v>100</v>
      </c>
      <c r="O27" s="22">
        <f t="shared" si="2"/>
        <v>100</v>
      </c>
      <c r="P27" s="18">
        <f t="shared" si="2"/>
        <v>100</v>
      </c>
    </row>
    <row r="28" spans="1:16" ht="31.5" x14ac:dyDescent="0.25">
      <c r="A28" s="11" t="s">
        <v>63</v>
      </c>
      <c r="B28" s="12" t="s">
        <v>64</v>
      </c>
      <c r="C28" s="14" t="s">
        <v>20</v>
      </c>
      <c r="D28" s="13">
        <v>0.03</v>
      </c>
      <c r="E28" s="14" t="s">
        <v>25</v>
      </c>
      <c r="F28" s="14">
        <v>83.66</v>
      </c>
      <c r="G28" s="32">
        <v>89</v>
      </c>
      <c r="H28" s="32">
        <v>90</v>
      </c>
      <c r="I28" s="22">
        <v>95</v>
      </c>
      <c r="J28" s="22">
        <v>95</v>
      </c>
      <c r="K28" s="22">
        <v>95</v>
      </c>
      <c r="L28" s="22">
        <v>95</v>
      </c>
      <c r="M28" s="22">
        <v>95</v>
      </c>
      <c r="N28" s="22">
        <v>95</v>
      </c>
      <c r="O28" s="22">
        <f t="shared" si="2"/>
        <v>95</v>
      </c>
      <c r="P28" s="18">
        <f t="shared" si="2"/>
        <v>95</v>
      </c>
    </row>
    <row r="29" spans="1:16" ht="63" x14ac:dyDescent="0.25">
      <c r="A29" s="11" t="s">
        <v>65</v>
      </c>
      <c r="B29" s="12" t="s">
        <v>66</v>
      </c>
      <c r="C29" s="14" t="s">
        <v>20</v>
      </c>
      <c r="D29" s="13">
        <v>0.03</v>
      </c>
      <c r="E29" s="14" t="s">
        <v>25</v>
      </c>
      <c r="F29" s="33">
        <v>90</v>
      </c>
      <c r="G29" s="32">
        <v>10.1</v>
      </c>
      <c r="H29" s="32">
        <v>10.1</v>
      </c>
      <c r="I29" s="22">
        <v>10.1</v>
      </c>
      <c r="J29" s="22">
        <v>9.1</v>
      </c>
      <c r="K29" s="22">
        <v>9.5</v>
      </c>
      <c r="L29" s="22">
        <v>10.1</v>
      </c>
      <c r="M29" s="22">
        <v>10.1</v>
      </c>
      <c r="N29" s="22">
        <v>10.1</v>
      </c>
      <c r="O29" s="22">
        <f t="shared" si="2"/>
        <v>10.1</v>
      </c>
      <c r="P29" s="18">
        <f t="shared" si="2"/>
        <v>10.1</v>
      </c>
    </row>
    <row r="30" spans="1:16" s="34" customFormat="1" ht="63" x14ac:dyDescent="0.25">
      <c r="A30" s="11" t="s">
        <v>67</v>
      </c>
      <c r="B30" s="12" t="s">
        <v>68</v>
      </c>
      <c r="C30" s="13" t="s">
        <v>20</v>
      </c>
      <c r="D30" s="13">
        <v>0.03</v>
      </c>
      <c r="E30" s="15" t="s">
        <v>22</v>
      </c>
      <c r="F30" s="22">
        <v>2.34</v>
      </c>
      <c r="G30" s="32">
        <v>1.1299999999999999</v>
      </c>
      <c r="H30" s="32">
        <v>1.57</v>
      </c>
      <c r="I30" s="32">
        <v>1.72</v>
      </c>
      <c r="J30" s="32">
        <v>1.86</v>
      </c>
      <c r="K30" s="32">
        <v>1.87</v>
      </c>
      <c r="L30" s="32">
        <v>1.9</v>
      </c>
      <c r="M30" s="32">
        <v>1.9</v>
      </c>
      <c r="N30" s="32">
        <v>1.9</v>
      </c>
      <c r="O30" s="22">
        <f t="shared" si="2"/>
        <v>1.9</v>
      </c>
      <c r="P30" s="18">
        <f t="shared" si="2"/>
        <v>1.9</v>
      </c>
    </row>
    <row r="31" spans="1:16" ht="47.25" x14ac:dyDescent="0.25">
      <c r="A31" s="11" t="s">
        <v>69</v>
      </c>
      <c r="B31" s="12" t="s">
        <v>70</v>
      </c>
      <c r="C31" s="14" t="s">
        <v>20</v>
      </c>
      <c r="D31" s="13">
        <v>0.02</v>
      </c>
      <c r="E31" s="14" t="s">
        <v>25</v>
      </c>
      <c r="F31" s="14">
        <v>9.7799999999999994</v>
      </c>
      <c r="G31" s="31">
        <v>39</v>
      </c>
      <c r="H31" s="31">
        <v>41</v>
      </c>
      <c r="I31" s="22">
        <v>41</v>
      </c>
      <c r="J31" s="23">
        <v>42.5</v>
      </c>
      <c r="K31" s="23">
        <v>48.8</v>
      </c>
      <c r="L31" s="23">
        <v>50.2</v>
      </c>
      <c r="M31" s="23">
        <v>50.2</v>
      </c>
      <c r="N31" s="23">
        <v>50.2</v>
      </c>
      <c r="O31" s="22">
        <f t="shared" si="2"/>
        <v>50.2</v>
      </c>
      <c r="P31" s="18">
        <f t="shared" si="2"/>
        <v>50.2</v>
      </c>
    </row>
    <row r="32" spans="1:16" ht="63" x14ac:dyDescent="0.25">
      <c r="A32" s="11" t="s">
        <v>71</v>
      </c>
      <c r="B32" s="12" t="s">
        <v>72</v>
      </c>
      <c r="C32" s="13" t="s">
        <v>20</v>
      </c>
      <c r="D32" s="13">
        <v>0.03</v>
      </c>
      <c r="E32" s="14" t="s">
        <v>25</v>
      </c>
      <c r="F32" s="13">
        <v>83</v>
      </c>
      <c r="G32" s="31">
        <v>0</v>
      </c>
      <c r="H32" s="31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f t="shared" si="2"/>
        <v>0</v>
      </c>
      <c r="P32" s="18">
        <f t="shared" si="2"/>
        <v>0</v>
      </c>
    </row>
    <row r="33" spans="1:16" ht="47.25" x14ac:dyDescent="0.25">
      <c r="A33" s="11" t="s">
        <v>73</v>
      </c>
      <c r="B33" s="12" t="s">
        <v>74</v>
      </c>
      <c r="C33" s="13" t="s">
        <v>20</v>
      </c>
      <c r="D33" s="13">
        <v>0.02</v>
      </c>
      <c r="E33" s="14" t="s">
        <v>25</v>
      </c>
      <c r="F33" s="35">
        <v>35</v>
      </c>
      <c r="G33" s="17">
        <v>93.5</v>
      </c>
      <c r="H33" s="17">
        <v>93.5</v>
      </c>
      <c r="I33" s="23">
        <v>95</v>
      </c>
      <c r="J33" s="23">
        <v>100</v>
      </c>
      <c r="K33" s="23">
        <v>100</v>
      </c>
      <c r="L33" s="23">
        <v>100</v>
      </c>
      <c r="M33" s="23">
        <v>100</v>
      </c>
      <c r="N33" s="23">
        <v>100</v>
      </c>
      <c r="O33" s="22">
        <f t="shared" si="2"/>
        <v>100</v>
      </c>
      <c r="P33" s="18">
        <f t="shared" si="2"/>
        <v>100</v>
      </c>
    </row>
    <row r="34" spans="1:16" ht="47.25" x14ac:dyDescent="0.25">
      <c r="A34" s="11" t="s">
        <v>75</v>
      </c>
      <c r="B34" s="12" t="s">
        <v>76</v>
      </c>
      <c r="C34" s="13" t="s">
        <v>20</v>
      </c>
      <c r="D34" s="13">
        <v>0.02</v>
      </c>
      <c r="E34" s="14" t="s">
        <v>25</v>
      </c>
      <c r="F34" s="35">
        <v>45</v>
      </c>
      <c r="G34" s="17">
        <v>92</v>
      </c>
      <c r="H34" s="17">
        <v>92</v>
      </c>
      <c r="I34" s="23">
        <v>92</v>
      </c>
      <c r="J34" s="23">
        <v>100</v>
      </c>
      <c r="K34" s="23">
        <v>100</v>
      </c>
      <c r="L34" s="23">
        <v>100</v>
      </c>
      <c r="M34" s="23">
        <v>100</v>
      </c>
      <c r="N34" s="23">
        <v>100</v>
      </c>
      <c r="O34" s="22">
        <f t="shared" si="2"/>
        <v>100</v>
      </c>
      <c r="P34" s="18">
        <f t="shared" si="2"/>
        <v>100</v>
      </c>
    </row>
    <row r="35" spans="1:16" ht="31.5" x14ac:dyDescent="0.25">
      <c r="A35" s="11" t="s">
        <v>77</v>
      </c>
      <c r="B35" s="12" t="s">
        <v>78</v>
      </c>
      <c r="C35" s="13" t="s">
        <v>20</v>
      </c>
      <c r="D35" s="13">
        <v>0.02</v>
      </c>
      <c r="E35" s="14" t="s">
        <v>25</v>
      </c>
      <c r="F35" s="35">
        <v>1</v>
      </c>
      <c r="G35" s="32">
        <v>96</v>
      </c>
      <c r="H35" s="32">
        <v>96.5</v>
      </c>
      <c r="I35" s="22">
        <v>97</v>
      </c>
      <c r="J35" s="22">
        <v>97</v>
      </c>
      <c r="K35" s="22">
        <v>98</v>
      </c>
      <c r="L35" s="22">
        <v>98</v>
      </c>
      <c r="M35" s="22">
        <v>98</v>
      </c>
      <c r="N35" s="22">
        <v>98</v>
      </c>
      <c r="O35" s="22">
        <f t="shared" si="2"/>
        <v>98</v>
      </c>
      <c r="P35" s="18">
        <f t="shared" si="2"/>
        <v>98</v>
      </c>
    </row>
    <row r="36" spans="1:16" ht="94.5" x14ac:dyDescent="0.25">
      <c r="A36" s="11" t="s">
        <v>79</v>
      </c>
      <c r="B36" s="12" t="s">
        <v>80</v>
      </c>
      <c r="C36" s="14" t="s">
        <v>20</v>
      </c>
      <c r="D36" s="13">
        <v>0.02</v>
      </c>
      <c r="E36" s="14" t="s">
        <v>25</v>
      </c>
      <c r="F36" s="14" t="s">
        <v>50</v>
      </c>
      <c r="G36" s="32">
        <v>2.5</v>
      </c>
      <c r="H36" s="32">
        <v>3</v>
      </c>
      <c r="I36" s="22">
        <v>3.4</v>
      </c>
      <c r="J36" s="22">
        <v>2.4</v>
      </c>
      <c r="K36" s="22">
        <v>2.8</v>
      </c>
      <c r="L36" s="22">
        <v>2.8</v>
      </c>
      <c r="M36" s="22">
        <v>2.8</v>
      </c>
      <c r="N36" s="22">
        <v>2.8</v>
      </c>
      <c r="O36" s="22">
        <f t="shared" si="2"/>
        <v>2.8</v>
      </c>
      <c r="P36" s="18">
        <f t="shared" si="2"/>
        <v>2.8</v>
      </c>
    </row>
    <row r="37" spans="1:16" s="26" customFormat="1" x14ac:dyDescent="0.25">
      <c r="A37" s="24" t="s">
        <v>81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2"/>
      <c r="P37" s="18"/>
    </row>
    <row r="38" spans="1:16" ht="31.5" x14ac:dyDescent="0.25">
      <c r="A38" s="36" t="s">
        <v>82</v>
      </c>
      <c r="B38" s="12" t="s">
        <v>83</v>
      </c>
      <c r="C38" s="13" t="s">
        <v>20</v>
      </c>
      <c r="D38" s="13">
        <v>0.03</v>
      </c>
      <c r="E38" s="15" t="s">
        <v>25</v>
      </c>
      <c r="F38" s="14">
        <v>70</v>
      </c>
      <c r="G38" s="32">
        <v>75</v>
      </c>
      <c r="H38" s="32">
        <v>75</v>
      </c>
      <c r="I38" s="31">
        <v>75</v>
      </c>
      <c r="J38" s="31">
        <v>93</v>
      </c>
      <c r="K38" s="31">
        <v>93</v>
      </c>
      <c r="L38" s="31">
        <v>75</v>
      </c>
      <c r="M38" s="31">
        <v>75</v>
      </c>
      <c r="N38" s="31">
        <v>75</v>
      </c>
      <c r="O38" s="22">
        <f t="shared" si="2"/>
        <v>75</v>
      </c>
      <c r="P38" s="18">
        <f t="shared" si="2"/>
        <v>75</v>
      </c>
    </row>
    <row r="39" spans="1:16" ht="31.5" x14ac:dyDescent="0.25">
      <c r="A39" s="36" t="s">
        <v>84</v>
      </c>
      <c r="B39" s="37" t="s">
        <v>85</v>
      </c>
      <c r="C39" s="20" t="s">
        <v>20</v>
      </c>
      <c r="D39" s="20">
        <v>0.03</v>
      </c>
      <c r="E39" s="38" t="s">
        <v>25</v>
      </c>
      <c r="F39" s="21"/>
      <c r="G39" s="17">
        <v>67</v>
      </c>
      <c r="H39" s="17">
        <v>70</v>
      </c>
      <c r="I39" s="17">
        <v>72</v>
      </c>
      <c r="J39" s="17">
        <v>72</v>
      </c>
      <c r="K39" s="17">
        <v>72</v>
      </c>
      <c r="L39" s="17">
        <v>72</v>
      </c>
      <c r="M39" s="17">
        <v>72</v>
      </c>
      <c r="N39" s="17">
        <v>72</v>
      </c>
      <c r="O39" s="22">
        <f t="shared" si="2"/>
        <v>72</v>
      </c>
      <c r="P39" s="18">
        <f t="shared" si="2"/>
        <v>72</v>
      </c>
    </row>
    <row r="40" spans="1:16" ht="31.5" x14ac:dyDescent="0.25">
      <c r="A40" s="36" t="s">
        <v>86</v>
      </c>
      <c r="B40" s="37" t="s">
        <v>87</v>
      </c>
      <c r="C40" s="13" t="s">
        <v>20</v>
      </c>
      <c r="D40" s="13">
        <v>0.03</v>
      </c>
      <c r="E40" s="15" t="s">
        <v>25</v>
      </c>
      <c r="F40" s="14" t="s">
        <v>50</v>
      </c>
      <c r="G40" s="32">
        <v>15</v>
      </c>
      <c r="H40" s="32">
        <v>15</v>
      </c>
      <c r="I40" s="31">
        <v>16.5</v>
      </c>
      <c r="J40" s="31">
        <v>18.3</v>
      </c>
      <c r="K40" s="31">
        <v>19.100000000000001</v>
      </c>
      <c r="L40" s="31">
        <v>19.5</v>
      </c>
      <c r="M40" s="31">
        <v>19.5</v>
      </c>
      <c r="N40" s="31">
        <v>19.5</v>
      </c>
      <c r="O40" s="22">
        <f t="shared" si="2"/>
        <v>19.5</v>
      </c>
      <c r="P40" s="18">
        <f t="shared" si="2"/>
        <v>19.5</v>
      </c>
    </row>
    <row r="41" spans="1:16" s="26" customFormat="1" x14ac:dyDescent="0.25">
      <c r="A41" s="24" t="s">
        <v>88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2">
        <f t="shared" si="2"/>
        <v>0</v>
      </c>
      <c r="P41" s="18">
        <f t="shared" si="2"/>
        <v>0</v>
      </c>
    </row>
    <row r="42" spans="1:16" ht="63" x14ac:dyDescent="0.25">
      <c r="A42" s="36" t="s">
        <v>89</v>
      </c>
      <c r="B42" s="37" t="s">
        <v>90</v>
      </c>
      <c r="C42" s="13" t="s">
        <v>20</v>
      </c>
      <c r="D42" s="13">
        <v>0.03</v>
      </c>
      <c r="E42" s="15" t="s">
        <v>25</v>
      </c>
      <c r="F42" s="14">
        <v>78.400000000000006</v>
      </c>
      <c r="G42" s="31">
        <v>80.2</v>
      </c>
      <c r="H42" s="31">
        <v>80.400000000000006</v>
      </c>
      <c r="I42" s="31">
        <v>80.5</v>
      </c>
      <c r="J42" s="31">
        <v>80.5</v>
      </c>
      <c r="K42" s="31">
        <v>80.5</v>
      </c>
      <c r="L42" s="31">
        <v>80.5</v>
      </c>
      <c r="M42" s="31">
        <v>80.5</v>
      </c>
      <c r="N42" s="31">
        <v>80.5</v>
      </c>
      <c r="O42" s="22">
        <f t="shared" si="2"/>
        <v>80.5</v>
      </c>
      <c r="P42" s="18">
        <f t="shared" si="2"/>
        <v>80.5</v>
      </c>
    </row>
    <row r="43" spans="1:16" s="26" customFormat="1" x14ac:dyDescent="0.25">
      <c r="A43" s="24" t="s">
        <v>91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</row>
    <row r="44" spans="1:16" s="26" customFormat="1" x14ac:dyDescent="0.25">
      <c r="A44" s="24" t="s">
        <v>92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/>
    </row>
    <row r="45" spans="1:16" s="26" customFormat="1" x14ac:dyDescent="0.25">
      <c r="A45" s="24" t="s">
        <v>93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</row>
    <row r="46" spans="1:16" ht="31.5" x14ac:dyDescent="0.25">
      <c r="A46" s="11" t="s">
        <v>94</v>
      </c>
      <c r="B46" s="12" t="s">
        <v>95</v>
      </c>
      <c r="C46" s="13" t="s">
        <v>20</v>
      </c>
      <c r="D46" s="13">
        <v>0.04</v>
      </c>
      <c r="E46" s="14" t="s">
        <v>25</v>
      </c>
      <c r="F46" s="22">
        <v>97.09</v>
      </c>
      <c r="G46" s="15">
        <v>82.9</v>
      </c>
      <c r="H46" s="15">
        <v>82.9</v>
      </c>
      <c r="I46" s="15">
        <v>93.2</v>
      </c>
      <c r="J46" s="15">
        <v>93.7</v>
      </c>
      <c r="K46" s="15">
        <v>94</v>
      </c>
      <c r="L46" s="15">
        <v>94</v>
      </c>
      <c r="M46" s="15">
        <v>94</v>
      </c>
      <c r="N46" s="15">
        <v>94</v>
      </c>
      <c r="O46" s="39">
        <v>94</v>
      </c>
      <c r="P46" s="40">
        <f>O46</f>
        <v>94</v>
      </c>
    </row>
    <row r="47" spans="1:16" s="26" customFormat="1" x14ac:dyDescent="0.25">
      <c r="A47" s="24" t="s">
        <v>96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41"/>
    </row>
    <row r="48" spans="1:16" ht="31.5" x14ac:dyDescent="0.25">
      <c r="A48" s="11" t="s">
        <v>97</v>
      </c>
      <c r="B48" s="42" t="s">
        <v>98</v>
      </c>
      <c r="C48" s="13" t="s">
        <v>20</v>
      </c>
      <c r="D48" s="13">
        <v>0.04</v>
      </c>
      <c r="E48" s="15" t="s">
        <v>25</v>
      </c>
      <c r="F48" s="43">
        <v>134</v>
      </c>
      <c r="G48" s="15">
        <v>73</v>
      </c>
      <c r="H48" s="15">
        <v>74</v>
      </c>
      <c r="I48" s="15">
        <v>89</v>
      </c>
      <c r="J48" s="15">
        <v>90</v>
      </c>
      <c r="K48" s="15">
        <v>92</v>
      </c>
      <c r="L48" s="15">
        <v>95</v>
      </c>
      <c r="M48" s="15">
        <v>95</v>
      </c>
      <c r="N48" s="15">
        <v>95</v>
      </c>
      <c r="O48" s="39">
        <v>95</v>
      </c>
      <c r="P48" s="40">
        <f>O48</f>
        <v>95</v>
      </c>
    </row>
    <row r="49" spans="1:16" ht="47.25" x14ac:dyDescent="0.25">
      <c r="A49" s="11" t="s">
        <v>99</v>
      </c>
      <c r="B49" s="42" t="s">
        <v>100</v>
      </c>
      <c r="C49" s="13" t="s">
        <v>20</v>
      </c>
      <c r="D49" s="13">
        <v>0.04</v>
      </c>
      <c r="E49" s="14" t="s">
        <v>25</v>
      </c>
      <c r="F49" s="14">
        <v>15.6</v>
      </c>
      <c r="G49" s="15">
        <v>70</v>
      </c>
      <c r="H49" s="15">
        <v>70</v>
      </c>
      <c r="I49" s="15">
        <v>95</v>
      </c>
      <c r="J49" s="15">
        <v>97</v>
      </c>
      <c r="K49" s="15">
        <v>97</v>
      </c>
      <c r="L49" s="15">
        <v>98</v>
      </c>
      <c r="M49" s="15">
        <v>98</v>
      </c>
      <c r="N49" s="15">
        <v>98</v>
      </c>
      <c r="O49" s="39">
        <v>98</v>
      </c>
      <c r="P49" s="40">
        <f>O49</f>
        <v>98</v>
      </c>
    </row>
    <row r="50" spans="1:16" s="26" customFormat="1" x14ac:dyDescent="0.25">
      <c r="A50" s="24" t="s">
        <v>101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</row>
    <row r="51" spans="1:16" s="26" customFormat="1" x14ac:dyDescent="0.25">
      <c r="A51" s="24" t="s">
        <v>102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</row>
    <row r="52" spans="1:16" s="26" customFormat="1" x14ac:dyDescent="0.25">
      <c r="A52" s="24" t="s">
        <v>103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</row>
    <row r="53" spans="1:16" ht="31.5" x14ac:dyDescent="0.25">
      <c r="A53" s="44" t="s">
        <v>104</v>
      </c>
      <c r="B53" s="45" t="s">
        <v>105</v>
      </c>
      <c r="C53" s="46" t="s">
        <v>106</v>
      </c>
      <c r="D53" s="47">
        <v>0.03</v>
      </c>
      <c r="E53" s="48" t="s">
        <v>107</v>
      </c>
      <c r="F53" s="49"/>
      <c r="G53" s="46">
        <v>1460</v>
      </c>
      <c r="H53" s="46">
        <v>1470</v>
      </c>
      <c r="I53" s="46">
        <v>1470</v>
      </c>
      <c r="J53" s="46">
        <v>2863</v>
      </c>
      <c r="K53" s="46">
        <v>3174</v>
      </c>
      <c r="L53" s="46">
        <v>3205</v>
      </c>
      <c r="M53" s="50">
        <v>3199</v>
      </c>
      <c r="N53" s="50">
        <v>3213</v>
      </c>
      <c r="O53" s="50">
        <f>N53</f>
        <v>3213</v>
      </c>
      <c r="P53" s="51">
        <f>O53</f>
        <v>3213</v>
      </c>
    </row>
    <row r="54" spans="1:16" ht="31.5" x14ac:dyDescent="0.25">
      <c r="A54" s="46" t="s">
        <v>108</v>
      </c>
      <c r="B54" s="45" t="s">
        <v>109</v>
      </c>
      <c r="C54" s="46" t="s">
        <v>106</v>
      </c>
      <c r="D54" s="46">
        <v>0.01</v>
      </c>
      <c r="E54" s="48" t="s">
        <v>107</v>
      </c>
      <c r="F54" s="49"/>
      <c r="G54" s="46">
        <v>28870</v>
      </c>
      <c r="H54" s="46">
        <v>29600</v>
      </c>
      <c r="I54" s="46">
        <v>30690</v>
      </c>
      <c r="J54" s="46">
        <v>32180</v>
      </c>
      <c r="K54" s="46">
        <v>33390</v>
      </c>
      <c r="L54" s="46">
        <v>38561</v>
      </c>
      <c r="M54" s="52">
        <v>38575</v>
      </c>
      <c r="N54" s="52">
        <v>41100</v>
      </c>
      <c r="O54" s="52">
        <f>N54</f>
        <v>41100</v>
      </c>
      <c r="P54" s="51">
        <f t="shared" ref="P54:P70" si="3">O54</f>
        <v>41100</v>
      </c>
    </row>
    <row r="55" spans="1:16" ht="63" x14ac:dyDescent="0.25">
      <c r="A55" s="44" t="s">
        <v>110</v>
      </c>
      <c r="B55" s="45" t="s">
        <v>111</v>
      </c>
      <c r="C55" s="46" t="s">
        <v>106</v>
      </c>
      <c r="D55" s="46">
        <v>0.01</v>
      </c>
      <c r="E55" s="48" t="s">
        <v>107</v>
      </c>
      <c r="F55" s="49"/>
      <c r="G55" s="46">
        <v>17972</v>
      </c>
      <c r="H55" s="46">
        <v>18638</v>
      </c>
      <c r="I55" s="46">
        <v>19328</v>
      </c>
      <c r="J55" s="46">
        <v>21911</v>
      </c>
      <c r="K55" s="46">
        <v>24405</v>
      </c>
      <c r="L55" s="46">
        <v>28687</v>
      </c>
      <c r="M55" s="52">
        <v>32078</v>
      </c>
      <c r="N55" s="52">
        <v>31900</v>
      </c>
      <c r="O55" s="52">
        <f>N55</f>
        <v>31900</v>
      </c>
      <c r="P55" s="51">
        <f t="shared" si="3"/>
        <v>31900</v>
      </c>
    </row>
    <row r="56" spans="1:16" ht="31.5" x14ac:dyDescent="0.25">
      <c r="A56" s="11" t="s">
        <v>112</v>
      </c>
      <c r="B56" s="42" t="s">
        <v>113</v>
      </c>
      <c r="C56" s="14" t="s">
        <v>114</v>
      </c>
      <c r="D56" s="14">
        <v>0.02</v>
      </c>
      <c r="E56" s="53" t="s">
        <v>25</v>
      </c>
      <c r="F56" s="16"/>
      <c r="G56" s="54">
        <v>25.02</v>
      </c>
      <c r="H56" s="54">
        <v>25</v>
      </c>
      <c r="I56" s="14">
        <v>25</v>
      </c>
      <c r="J56" s="14">
        <v>23.9</v>
      </c>
      <c r="K56" s="14">
        <v>24</v>
      </c>
      <c r="L56" s="14">
        <v>24</v>
      </c>
      <c r="M56" s="14">
        <v>24</v>
      </c>
      <c r="N56" s="14">
        <v>24</v>
      </c>
      <c r="O56" s="14">
        <v>24</v>
      </c>
      <c r="P56" s="55">
        <f t="shared" si="3"/>
        <v>24</v>
      </c>
    </row>
    <row r="57" spans="1:16" ht="31.5" x14ac:dyDescent="0.25">
      <c r="A57" s="11" t="s">
        <v>115</v>
      </c>
      <c r="B57" s="42" t="s">
        <v>116</v>
      </c>
      <c r="C57" s="14" t="s">
        <v>114</v>
      </c>
      <c r="D57" s="14">
        <v>0.02</v>
      </c>
      <c r="E57" s="53" t="s">
        <v>25</v>
      </c>
      <c r="F57" s="16"/>
      <c r="G57" s="54">
        <v>18.82</v>
      </c>
      <c r="H57" s="54">
        <v>18.82</v>
      </c>
      <c r="I57" s="14">
        <v>18.8</v>
      </c>
      <c r="J57" s="14">
        <v>17</v>
      </c>
      <c r="K57" s="14">
        <v>17</v>
      </c>
      <c r="L57" s="14">
        <v>17</v>
      </c>
      <c r="M57" s="14">
        <v>17</v>
      </c>
      <c r="N57" s="14">
        <v>17</v>
      </c>
      <c r="O57" s="14">
        <v>17</v>
      </c>
      <c r="P57" s="55">
        <f t="shared" si="3"/>
        <v>17</v>
      </c>
    </row>
    <row r="58" spans="1:16" ht="78.75" x14ac:dyDescent="0.25">
      <c r="A58" s="14" t="s">
        <v>117</v>
      </c>
      <c r="B58" s="42" t="s">
        <v>118</v>
      </c>
      <c r="C58" s="14" t="s">
        <v>119</v>
      </c>
      <c r="D58" s="14">
        <v>0.02</v>
      </c>
      <c r="E58" s="53" t="s">
        <v>25</v>
      </c>
      <c r="F58" s="16"/>
      <c r="G58" s="54">
        <v>0.7</v>
      </c>
      <c r="H58" s="54">
        <v>0.7</v>
      </c>
      <c r="I58" s="14">
        <v>0.7</v>
      </c>
      <c r="J58" s="14">
        <v>0.7</v>
      </c>
      <c r="K58" s="14">
        <v>0.7</v>
      </c>
      <c r="L58" s="14">
        <v>0.7</v>
      </c>
      <c r="M58" s="14">
        <v>0.7</v>
      </c>
      <c r="N58" s="14">
        <v>0.7</v>
      </c>
      <c r="O58" s="14">
        <v>0.7</v>
      </c>
      <c r="P58" s="29">
        <f t="shared" si="3"/>
        <v>0.7</v>
      </c>
    </row>
    <row r="59" spans="1:16" ht="31.5" x14ac:dyDescent="0.25">
      <c r="A59" s="14" t="s">
        <v>120</v>
      </c>
      <c r="B59" s="42" t="s">
        <v>121</v>
      </c>
      <c r="C59" s="14" t="s">
        <v>55</v>
      </c>
      <c r="D59" s="14">
        <v>0.03</v>
      </c>
      <c r="E59" s="53" t="s">
        <v>107</v>
      </c>
      <c r="F59" s="16"/>
      <c r="G59" s="14">
        <v>18</v>
      </c>
      <c r="H59" s="14">
        <v>18</v>
      </c>
      <c r="I59" s="14">
        <v>18</v>
      </c>
      <c r="J59" s="14">
        <v>14</v>
      </c>
      <c r="K59" s="14">
        <v>14</v>
      </c>
      <c r="L59" s="14">
        <v>14</v>
      </c>
      <c r="M59" s="14">
        <v>14</v>
      </c>
      <c r="N59" s="14">
        <v>14</v>
      </c>
      <c r="O59" s="14">
        <v>14</v>
      </c>
      <c r="P59" s="55">
        <f t="shared" si="3"/>
        <v>14</v>
      </c>
    </row>
    <row r="60" spans="1:16" ht="66" customHeight="1" x14ac:dyDescent="0.25">
      <c r="A60" s="14" t="s">
        <v>122</v>
      </c>
      <c r="B60" s="42" t="s">
        <v>123</v>
      </c>
      <c r="C60" s="14" t="s">
        <v>124</v>
      </c>
      <c r="D60" s="14">
        <v>0.01</v>
      </c>
      <c r="E60" s="53" t="s">
        <v>125</v>
      </c>
      <c r="F60" s="16"/>
      <c r="G60" s="14">
        <v>5</v>
      </c>
      <c r="H60" s="14">
        <v>5</v>
      </c>
      <c r="I60" s="14">
        <v>5</v>
      </c>
      <c r="J60" s="14">
        <v>5</v>
      </c>
      <c r="K60" s="14">
        <v>5</v>
      </c>
      <c r="L60" s="14">
        <v>5</v>
      </c>
      <c r="M60" s="14">
        <v>5</v>
      </c>
      <c r="N60" s="14">
        <v>5</v>
      </c>
      <c r="O60" s="14">
        <v>5</v>
      </c>
      <c r="P60" s="55">
        <f t="shared" si="3"/>
        <v>5</v>
      </c>
    </row>
    <row r="61" spans="1:16" ht="47.25" x14ac:dyDescent="0.25">
      <c r="A61" s="14" t="s">
        <v>126</v>
      </c>
      <c r="B61" s="42" t="s">
        <v>127</v>
      </c>
      <c r="C61" s="14" t="s">
        <v>124</v>
      </c>
      <c r="D61" s="14">
        <v>0.01</v>
      </c>
      <c r="E61" s="53" t="s">
        <v>125</v>
      </c>
      <c r="F61" s="16"/>
      <c r="G61" s="13">
        <v>5</v>
      </c>
      <c r="H61" s="13">
        <v>5</v>
      </c>
      <c r="I61" s="13">
        <v>5</v>
      </c>
      <c r="J61" s="13">
        <v>5</v>
      </c>
      <c r="K61" s="13">
        <v>5</v>
      </c>
      <c r="L61" s="13">
        <v>5</v>
      </c>
      <c r="M61" s="13">
        <v>5</v>
      </c>
      <c r="N61" s="13">
        <v>5</v>
      </c>
      <c r="O61" s="13">
        <v>5</v>
      </c>
      <c r="P61" s="55">
        <f t="shared" si="3"/>
        <v>5</v>
      </c>
    </row>
    <row r="62" spans="1:16" ht="126" x14ac:dyDescent="0.25">
      <c r="A62" s="14" t="s">
        <v>128</v>
      </c>
      <c r="B62" s="42" t="s">
        <v>129</v>
      </c>
      <c r="C62" s="14" t="s">
        <v>124</v>
      </c>
      <c r="D62" s="14">
        <v>0.01</v>
      </c>
      <c r="E62" s="53" t="s">
        <v>125</v>
      </c>
      <c r="F62" s="16"/>
      <c r="G62" s="13">
        <v>5</v>
      </c>
      <c r="H62" s="13">
        <v>5</v>
      </c>
      <c r="I62" s="13">
        <v>5</v>
      </c>
      <c r="J62" s="13">
        <v>5</v>
      </c>
      <c r="K62" s="13">
        <v>5</v>
      </c>
      <c r="L62" s="13">
        <v>5</v>
      </c>
      <c r="M62" s="13">
        <v>5</v>
      </c>
      <c r="N62" s="13">
        <v>5</v>
      </c>
      <c r="O62" s="13">
        <v>5</v>
      </c>
      <c r="P62" s="55">
        <f t="shared" si="3"/>
        <v>5</v>
      </c>
    </row>
    <row r="63" spans="1:16" ht="94.5" x14ac:dyDescent="0.25">
      <c r="A63" s="14" t="s">
        <v>130</v>
      </c>
      <c r="B63" s="42" t="s">
        <v>131</v>
      </c>
      <c r="C63" s="14" t="s">
        <v>124</v>
      </c>
      <c r="D63" s="14">
        <v>0.01</v>
      </c>
      <c r="E63" s="53" t="s">
        <v>125</v>
      </c>
      <c r="F63" s="16"/>
      <c r="G63" s="13">
        <v>5</v>
      </c>
      <c r="H63" s="13">
        <v>5</v>
      </c>
      <c r="I63" s="13">
        <v>5</v>
      </c>
      <c r="J63" s="13">
        <v>5</v>
      </c>
      <c r="K63" s="13">
        <v>5</v>
      </c>
      <c r="L63" s="13">
        <v>5</v>
      </c>
      <c r="M63" s="13">
        <v>5</v>
      </c>
      <c r="N63" s="13">
        <v>5</v>
      </c>
      <c r="O63" s="13">
        <v>5</v>
      </c>
      <c r="P63" s="55">
        <f t="shared" si="3"/>
        <v>5</v>
      </c>
    </row>
    <row r="64" spans="1:16" ht="47.25" x14ac:dyDescent="0.25">
      <c r="A64" s="14" t="s">
        <v>132</v>
      </c>
      <c r="B64" s="56" t="s">
        <v>133</v>
      </c>
      <c r="C64" s="14" t="s">
        <v>124</v>
      </c>
      <c r="D64" s="14">
        <v>0.01</v>
      </c>
      <c r="E64" s="53" t="s">
        <v>125</v>
      </c>
      <c r="F64" s="16"/>
      <c r="G64" s="13">
        <v>5</v>
      </c>
      <c r="H64" s="13">
        <v>5</v>
      </c>
      <c r="I64" s="13">
        <v>5</v>
      </c>
      <c r="J64" s="13">
        <v>5</v>
      </c>
      <c r="K64" s="13">
        <v>5</v>
      </c>
      <c r="L64" s="13">
        <v>5</v>
      </c>
      <c r="M64" s="13">
        <v>5</v>
      </c>
      <c r="N64" s="13">
        <v>5</v>
      </c>
      <c r="O64" s="13">
        <v>5</v>
      </c>
      <c r="P64" s="55">
        <f t="shared" si="3"/>
        <v>5</v>
      </c>
    </row>
    <row r="65" spans="1:16" ht="47.25" x14ac:dyDescent="0.25">
      <c r="A65" s="14" t="s">
        <v>134</v>
      </c>
      <c r="B65" s="56" t="s">
        <v>135</v>
      </c>
      <c r="C65" s="14" t="s">
        <v>124</v>
      </c>
      <c r="D65" s="14">
        <v>0.01</v>
      </c>
      <c r="E65" s="53" t="s">
        <v>125</v>
      </c>
      <c r="F65" s="16"/>
      <c r="G65" s="13">
        <v>5</v>
      </c>
      <c r="H65" s="13">
        <v>5</v>
      </c>
      <c r="I65" s="13">
        <v>5</v>
      </c>
      <c r="J65" s="13">
        <v>5</v>
      </c>
      <c r="K65" s="13">
        <v>5</v>
      </c>
      <c r="L65" s="13">
        <v>5</v>
      </c>
      <c r="M65" s="13">
        <v>5</v>
      </c>
      <c r="N65" s="13">
        <v>5</v>
      </c>
      <c r="O65" s="13">
        <v>5</v>
      </c>
      <c r="P65" s="55">
        <f t="shared" si="3"/>
        <v>5</v>
      </c>
    </row>
    <row r="66" spans="1:16" ht="47.25" x14ac:dyDescent="0.25">
      <c r="A66" s="11" t="s">
        <v>136</v>
      </c>
      <c r="B66" s="42" t="s">
        <v>137</v>
      </c>
      <c r="C66" s="14" t="s">
        <v>124</v>
      </c>
      <c r="D66" s="14">
        <v>0.01</v>
      </c>
      <c r="E66" s="53" t="s">
        <v>125</v>
      </c>
      <c r="F66" s="16"/>
      <c r="G66" s="13">
        <v>5</v>
      </c>
      <c r="H66" s="13">
        <v>5</v>
      </c>
      <c r="I66" s="13">
        <v>5</v>
      </c>
      <c r="J66" s="13">
        <v>5</v>
      </c>
      <c r="K66" s="13">
        <v>5</v>
      </c>
      <c r="L66" s="13">
        <v>5</v>
      </c>
      <c r="M66" s="13">
        <v>5</v>
      </c>
      <c r="N66" s="13">
        <v>5</v>
      </c>
      <c r="O66" s="13">
        <v>5</v>
      </c>
      <c r="P66" s="55">
        <f t="shared" si="3"/>
        <v>5</v>
      </c>
    </row>
    <row r="67" spans="1:16" ht="47.25" x14ac:dyDescent="0.25">
      <c r="A67" s="11" t="s">
        <v>138</v>
      </c>
      <c r="B67" s="42" t="s">
        <v>139</v>
      </c>
      <c r="C67" s="14" t="s">
        <v>124</v>
      </c>
      <c r="D67" s="14">
        <v>0.01</v>
      </c>
      <c r="E67" s="53" t="s">
        <v>125</v>
      </c>
      <c r="F67" s="16"/>
      <c r="G67" s="13">
        <v>5</v>
      </c>
      <c r="H67" s="13">
        <v>5</v>
      </c>
      <c r="I67" s="13">
        <v>5</v>
      </c>
      <c r="J67" s="13">
        <v>5</v>
      </c>
      <c r="K67" s="13">
        <v>5</v>
      </c>
      <c r="L67" s="13">
        <v>5</v>
      </c>
      <c r="M67" s="13">
        <v>5</v>
      </c>
      <c r="N67" s="13">
        <v>5</v>
      </c>
      <c r="O67" s="13">
        <v>5</v>
      </c>
      <c r="P67" s="55">
        <f t="shared" si="3"/>
        <v>5</v>
      </c>
    </row>
    <row r="68" spans="1:16" ht="47.25" x14ac:dyDescent="0.25">
      <c r="A68" s="11" t="s">
        <v>140</v>
      </c>
      <c r="B68" s="42" t="s">
        <v>141</v>
      </c>
      <c r="C68" s="14" t="s">
        <v>124</v>
      </c>
      <c r="D68" s="14">
        <v>0.01</v>
      </c>
      <c r="E68" s="53" t="s">
        <v>125</v>
      </c>
      <c r="F68" s="16"/>
      <c r="G68" s="13">
        <v>5</v>
      </c>
      <c r="H68" s="13">
        <v>5</v>
      </c>
      <c r="I68" s="13">
        <v>5</v>
      </c>
      <c r="J68" s="13">
        <v>5</v>
      </c>
      <c r="K68" s="13">
        <v>5</v>
      </c>
      <c r="L68" s="13">
        <v>5</v>
      </c>
      <c r="M68" s="13">
        <v>5</v>
      </c>
      <c r="N68" s="13">
        <v>5</v>
      </c>
      <c r="O68" s="13">
        <v>5</v>
      </c>
      <c r="P68" s="55">
        <f t="shared" si="3"/>
        <v>5</v>
      </c>
    </row>
    <row r="69" spans="1:16" ht="47.25" x14ac:dyDescent="0.25">
      <c r="A69" s="11" t="s">
        <v>142</v>
      </c>
      <c r="B69" s="42" t="s">
        <v>143</v>
      </c>
      <c r="C69" s="14" t="s">
        <v>124</v>
      </c>
      <c r="D69" s="14">
        <v>0.01</v>
      </c>
      <c r="E69" s="53" t="s">
        <v>125</v>
      </c>
      <c r="F69" s="16"/>
      <c r="G69" s="13">
        <v>5</v>
      </c>
      <c r="H69" s="13">
        <v>5</v>
      </c>
      <c r="I69" s="13">
        <v>5</v>
      </c>
      <c r="J69" s="13">
        <v>5</v>
      </c>
      <c r="K69" s="13">
        <v>5</v>
      </c>
      <c r="L69" s="13">
        <v>5</v>
      </c>
      <c r="M69" s="13">
        <v>5</v>
      </c>
      <c r="N69" s="13">
        <v>5</v>
      </c>
      <c r="O69" s="13">
        <v>5</v>
      </c>
      <c r="P69" s="55">
        <f t="shared" si="3"/>
        <v>5</v>
      </c>
    </row>
    <row r="70" spans="1:16" ht="47.25" x14ac:dyDescent="0.25">
      <c r="A70" s="11" t="s">
        <v>144</v>
      </c>
      <c r="B70" s="42" t="s">
        <v>145</v>
      </c>
      <c r="C70" s="14" t="s">
        <v>124</v>
      </c>
      <c r="D70" s="14">
        <v>0.01</v>
      </c>
      <c r="E70" s="53" t="s">
        <v>125</v>
      </c>
      <c r="F70" s="16"/>
      <c r="G70" s="13">
        <v>5</v>
      </c>
      <c r="H70" s="13">
        <v>5</v>
      </c>
      <c r="I70" s="13">
        <v>5</v>
      </c>
      <c r="J70" s="13">
        <v>5</v>
      </c>
      <c r="K70" s="13">
        <v>5</v>
      </c>
      <c r="L70" s="13">
        <v>5</v>
      </c>
      <c r="M70" s="13">
        <v>5</v>
      </c>
      <c r="N70" s="13">
        <v>5</v>
      </c>
      <c r="O70" s="13">
        <v>5</v>
      </c>
      <c r="P70" s="55">
        <f t="shared" si="3"/>
        <v>5</v>
      </c>
    </row>
    <row r="71" spans="1:16" s="26" customFormat="1" x14ac:dyDescent="0.25">
      <c r="A71" s="24" t="s">
        <v>146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</row>
    <row r="72" spans="1:16" s="59" customFormat="1" ht="47.25" x14ac:dyDescent="0.25">
      <c r="A72" s="57" t="s">
        <v>147</v>
      </c>
      <c r="B72" s="58" t="s">
        <v>148</v>
      </c>
      <c r="C72" s="20" t="s">
        <v>20</v>
      </c>
      <c r="D72" s="14">
        <v>0.03</v>
      </c>
      <c r="E72" s="14" t="s">
        <v>25</v>
      </c>
      <c r="F72" s="57"/>
      <c r="G72" s="14">
        <v>70</v>
      </c>
      <c r="H72" s="14">
        <v>70</v>
      </c>
      <c r="I72" s="14">
        <v>71</v>
      </c>
      <c r="J72" s="14">
        <v>71</v>
      </c>
      <c r="K72" s="14">
        <v>71</v>
      </c>
      <c r="L72" s="14">
        <v>71</v>
      </c>
      <c r="M72" s="14">
        <v>71</v>
      </c>
      <c r="N72" s="14">
        <v>71</v>
      </c>
      <c r="O72" s="14">
        <v>71</v>
      </c>
      <c r="P72" s="41">
        <f>O72</f>
        <v>71</v>
      </c>
    </row>
    <row r="73" spans="1:16" s="59" customFormat="1" x14ac:dyDescent="0.25">
      <c r="A73" s="60" t="s">
        <v>149</v>
      </c>
      <c r="B73" s="61" t="s">
        <v>150</v>
      </c>
      <c r="C73" s="62" t="s">
        <v>151</v>
      </c>
      <c r="D73" s="9">
        <v>0.03</v>
      </c>
      <c r="E73" s="9" t="s">
        <v>25</v>
      </c>
      <c r="F73" s="57"/>
      <c r="G73" s="9" t="s">
        <v>152</v>
      </c>
      <c r="H73" s="9" t="s">
        <v>153</v>
      </c>
      <c r="I73" s="9" t="s">
        <v>154</v>
      </c>
      <c r="J73" s="9" t="s">
        <v>155</v>
      </c>
      <c r="K73" s="9" t="s">
        <v>156</v>
      </c>
      <c r="L73" s="9" t="s">
        <v>157</v>
      </c>
      <c r="M73" s="9" t="s">
        <v>158</v>
      </c>
      <c r="N73" s="9" t="s">
        <v>158</v>
      </c>
      <c r="O73" s="9" t="s">
        <v>158</v>
      </c>
      <c r="P73" s="63" t="str">
        <f>O73</f>
        <v>89(57)</v>
      </c>
    </row>
    <row r="74" spans="1:16" s="26" customFormat="1" x14ac:dyDescent="0.25">
      <c r="A74" s="60"/>
      <c r="B74" s="61"/>
      <c r="C74" s="62"/>
      <c r="D74" s="9"/>
      <c r="E74" s="9"/>
      <c r="F74" s="57"/>
      <c r="G74" s="9"/>
      <c r="H74" s="9"/>
      <c r="I74" s="9"/>
      <c r="J74" s="9"/>
      <c r="K74" s="9"/>
      <c r="L74" s="9"/>
      <c r="M74" s="9"/>
      <c r="N74" s="9"/>
      <c r="O74" s="9"/>
      <c r="P74" s="64"/>
    </row>
    <row r="76" spans="1:16" x14ac:dyDescent="0.25">
      <c r="A76" s="65" t="s">
        <v>159</v>
      </c>
      <c r="B76" s="65"/>
      <c r="C76" s="65"/>
      <c r="D76" s="65"/>
      <c r="E76" s="65"/>
      <c r="F76" s="65"/>
      <c r="G76" s="65"/>
      <c r="H76" s="65"/>
      <c r="I76" s="65"/>
      <c r="J76" s="66" t="s">
        <v>160</v>
      </c>
      <c r="K76" s="66"/>
      <c r="L76" s="66"/>
      <c r="M76" s="66"/>
      <c r="N76" s="67"/>
      <c r="O76" s="67"/>
    </row>
  </sheetData>
  <mergeCells count="53">
    <mergeCell ref="P73:P74"/>
    <mergeCell ref="A76:I76"/>
    <mergeCell ref="J76:M76"/>
    <mergeCell ref="J73:J74"/>
    <mergeCell ref="K73:K74"/>
    <mergeCell ref="L73:L74"/>
    <mergeCell ref="M73:M74"/>
    <mergeCell ref="N73:N74"/>
    <mergeCell ref="O73:O74"/>
    <mergeCell ref="A52:N52"/>
    <mergeCell ref="A71:N71"/>
    <mergeCell ref="A73:A74"/>
    <mergeCell ref="B73:B74"/>
    <mergeCell ref="C73:C74"/>
    <mergeCell ref="D73:D74"/>
    <mergeCell ref="E73:E74"/>
    <mergeCell ref="G73:G74"/>
    <mergeCell ref="H73:H74"/>
    <mergeCell ref="I73:I74"/>
    <mergeCell ref="A43:N43"/>
    <mergeCell ref="A44:N44"/>
    <mergeCell ref="A45:N45"/>
    <mergeCell ref="A47:N47"/>
    <mergeCell ref="A50:N50"/>
    <mergeCell ref="A51:N51"/>
    <mergeCell ref="A18:N18"/>
    <mergeCell ref="A19:N19"/>
    <mergeCell ref="A20:N20"/>
    <mergeCell ref="A26:N26"/>
    <mergeCell ref="A37:N37"/>
    <mergeCell ref="A41:N41"/>
    <mergeCell ref="O3:O5"/>
    <mergeCell ref="P3:P5"/>
    <mergeCell ref="A6:N6"/>
    <mergeCell ref="A11:N11"/>
    <mergeCell ref="A12:N12"/>
    <mergeCell ref="A13:N13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8" fitToHeight="99" orientation="landscape" r:id="rId1"/>
  <headerFooter differentFirst="1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view="pageBreakPreview" zoomScaleNormal="100" zoomScaleSheetLayoutView="100" workbookViewId="0">
      <selection activeCell="M7" sqref="M7"/>
    </sheetView>
  </sheetViews>
  <sheetFormatPr defaultRowHeight="15.75" x14ac:dyDescent="0.25"/>
  <cols>
    <col min="1" max="1" width="7.42578125" style="4" customWidth="1"/>
    <col min="2" max="2" width="79.140625" style="4" customWidth="1"/>
    <col min="3" max="3" width="12" style="4" customWidth="1"/>
    <col min="4" max="4" width="16.28515625" style="4" customWidth="1"/>
    <col min="5" max="5" width="9.140625" style="4" hidden="1" customWidth="1"/>
    <col min="6" max="8" width="11.42578125" style="4" customWidth="1"/>
    <col min="9" max="11" width="11.42578125" style="467" customWidth="1"/>
    <col min="12" max="12" width="11.42578125" style="468" customWidth="1"/>
    <col min="13" max="13" width="11.42578125" style="4" customWidth="1"/>
    <col min="14" max="16384" width="9.140625" style="4"/>
  </cols>
  <sheetData>
    <row r="1" spans="1:15" ht="50.25" customHeight="1" x14ac:dyDescent="0.25">
      <c r="A1" s="1"/>
      <c r="B1" s="2"/>
      <c r="C1" s="3"/>
      <c r="D1" s="2"/>
      <c r="F1" s="140" t="s">
        <v>556</v>
      </c>
      <c r="G1" s="140"/>
      <c r="H1" s="140"/>
      <c r="I1" s="140"/>
      <c r="J1" s="140"/>
      <c r="K1" s="140"/>
      <c r="L1" s="140"/>
    </row>
    <row r="2" spans="1:15" ht="26.25" customHeight="1" x14ac:dyDescent="0.25">
      <c r="A2" s="142" t="s">
        <v>246</v>
      </c>
      <c r="B2" s="142"/>
      <c r="C2" s="142"/>
      <c r="D2" s="142"/>
      <c r="E2" s="142"/>
      <c r="F2" s="142"/>
      <c r="G2" s="142"/>
      <c r="H2" s="142"/>
      <c r="I2" s="142"/>
      <c r="J2" s="459"/>
      <c r="K2" s="459"/>
      <c r="L2" s="459"/>
    </row>
    <row r="3" spans="1:15" ht="53.25" customHeight="1" x14ac:dyDescent="0.25">
      <c r="A3" s="8" t="s">
        <v>2</v>
      </c>
      <c r="B3" s="9" t="s">
        <v>247</v>
      </c>
      <c r="C3" s="9" t="s">
        <v>4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</row>
    <row r="4" spans="1:15" s="34" customFormat="1" ht="22.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36" customHeight="1" x14ac:dyDescent="0.25">
      <c r="A5" s="207" t="s">
        <v>511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5" ht="30" customHeight="1" x14ac:dyDescent="0.25">
      <c r="A6" s="460" t="s">
        <v>557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2"/>
    </row>
    <row r="7" spans="1:15" ht="31.5" x14ac:dyDescent="0.25">
      <c r="A7" s="463" t="s">
        <v>558</v>
      </c>
      <c r="B7" s="42" t="s">
        <v>559</v>
      </c>
      <c r="C7" s="53" t="s">
        <v>20</v>
      </c>
      <c r="D7" s="14" t="s">
        <v>25</v>
      </c>
      <c r="E7" s="16"/>
      <c r="F7" s="15">
        <v>82.9</v>
      </c>
      <c r="G7" s="15">
        <v>82.9</v>
      </c>
      <c r="H7" s="15">
        <v>93.2</v>
      </c>
      <c r="I7" s="15">
        <v>93.7</v>
      </c>
      <c r="J7" s="15">
        <v>94</v>
      </c>
      <c r="K7" s="15">
        <v>94</v>
      </c>
      <c r="L7" s="15">
        <v>94</v>
      </c>
      <c r="M7" s="15">
        <v>94</v>
      </c>
      <c r="N7" s="15">
        <v>94</v>
      </c>
      <c r="O7" s="15">
        <v>94</v>
      </c>
    </row>
    <row r="8" spans="1:15" ht="33.75" customHeight="1" x14ac:dyDescent="0.25">
      <c r="A8" s="460" t="s">
        <v>548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2"/>
    </row>
    <row r="9" spans="1:15" ht="31.5" x14ac:dyDescent="0.25">
      <c r="A9" s="464" t="s">
        <v>560</v>
      </c>
      <c r="B9" s="42" t="s">
        <v>561</v>
      </c>
      <c r="C9" s="53" t="s">
        <v>20</v>
      </c>
      <c r="D9" s="14" t="s">
        <v>25</v>
      </c>
      <c r="E9" s="16"/>
      <c r="F9" s="15">
        <v>73</v>
      </c>
      <c r="G9" s="15">
        <v>74</v>
      </c>
      <c r="H9" s="15">
        <v>89</v>
      </c>
      <c r="I9" s="15">
        <v>90</v>
      </c>
      <c r="J9" s="15">
        <v>92</v>
      </c>
      <c r="K9" s="15">
        <v>95</v>
      </c>
      <c r="L9" s="15">
        <v>95</v>
      </c>
      <c r="M9" s="15">
        <v>95</v>
      </c>
      <c r="N9" s="15">
        <v>95</v>
      </c>
      <c r="O9" s="15">
        <v>95</v>
      </c>
    </row>
    <row r="10" spans="1:15" ht="47.25" x14ac:dyDescent="0.25">
      <c r="A10" s="464" t="s">
        <v>562</v>
      </c>
      <c r="B10" s="42" t="s">
        <v>100</v>
      </c>
      <c r="C10" s="465" t="s">
        <v>20</v>
      </c>
      <c r="D10" s="14" t="s">
        <v>25</v>
      </c>
      <c r="E10" s="14">
        <v>15.6</v>
      </c>
      <c r="F10" s="15">
        <v>70</v>
      </c>
      <c r="G10" s="15">
        <v>70</v>
      </c>
      <c r="H10" s="15">
        <v>95</v>
      </c>
      <c r="I10" s="15">
        <v>97</v>
      </c>
      <c r="J10" s="15">
        <v>97</v>
      </c>
      <c r="K10" s="15">
        <v>98</v>
      </c>
      <c r="L10" s="15">
        <v>98</v>
      </c>
      <c r="M10" s="15">
        <v>98</v>
      </c>
      <c r="N10" s="15">
        <v>98</v>
      </c>
      <c r="O10" s="15">
        <v>98</v>
      </c>
    </row>
    <row r="11" spans="1:15" x14ac:dyDescent="0.25">
      <c r="A11" s="1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5" x14ac:dyDescent="0.25">
      <c r="A12" s="223" t="s">
        <v>159</v>
      </c>
      <c r="B12" s="223"/>
      <c r="C12" s="223"/>
      <c r="I12" s="466" t="s">
        <v>160</v>
      </c>
      <c r="J12" s="466"/>
      <c r="K12" s="466"/>
      <c r="L12" s="466"/>
    </row>
  </sheetData>
  <mergeCells count="21">
    <mergeCell ref="O3:O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L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1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view="pageBreakPreview" zoomScale="98" zoomScaleNormal="98" zoomScaleSheetLayoutView="98" workbookViewId="0">
      <pane xSplit="3" ySplit="5" topLeftCell="D23" activePane="bottomRight" state="frozen"/>
      <selection activeCell="Q12" sqref="Q12"/>
      <selection pane="topRight" activeCell="Q12" sqref="Q12"/>
      <selection pane="bottomLeft" activeCell="Q12" sqref="Q12"/>
      <selection pane="bottomRight" activeCell="G36" sqref="G36"/>
    </sheetView>
  </sheetViews>
  <sheetFormatPr defaultColWidth="9.28515625" defaultRowHeight="15.75" x14ac:dyDescent="0.25"/>
  <cols>
    <col min="1" max="1" width="6.5703125" style="301" customWidth="1"/>
    <col min="2" max="2" width="50.42578125" style="4" customWidth="1"/>
    <col min="3" max="3" width="21.7109375" style="302" customWidth="1"/>
    <col min="4" max="5" width="9.28515625" style="302" customWidth="1"/>
    <col min="6" max="6" width="14.85546875" style="302" customWidth="1"/>
    <col min="7" max="7" width="11.28515625" style="302" customWidth="1"/>
    <col min="8" max="8" width="12.7109375" style="302" hidden="1" customWidth="1"/>
    <col min="9" max="13" width="12.7109375" style="4" hidden="1" customWidth="1"/>
    <col min="14" max="14" width="12.7109375" style="26" customWidth="1"/>
    <col min="15" max="17" width="12.7109375" style="4" customWidth="1"/>
    <col min="18" max="18" width="14.7109375" style="4" customWidth="1"/>
    <col min="19" max="19" width="40.140625" style="4" customWidth="1"/>
    <col min="20" max="20" width="12" style="4" customWidth="1"/>
    <col min="21" max="16384" width="9.28515625" style="4"/>
  </cols>
  <sheetData>
    <row r="1" spans="1:20" s="92" customFormat="1" ht="75" customHeight="1" x14ac:dyDescent="0.25">
      <c r="A1" s="226"/>
      <c r="B1" s="227"/>
      <c r="C1" s="228"/>
      <c r="D1" s="228"/>
      <c r="E1" s="228"/>
      <c r="F1" s="228"/>
      <c r="G1" s="228"/>
      <c r="H1" s="228"/>
      <c r="I1" s="407"/>
      <c r="J1" s="407"/>
      <c r="N1" s="59"/>
      <c r="R1" s="140" t="s">
        <v>510</v>
      </c>
      <c r="S1" s="140"/>
      <c r="T1" s="141"/>
    </row>
    <row r="2" spans="1:20" s="92" customFormat="1" ht="23.25" customHeight="1" x14ac:dyDescent="0.25">
      <c r="A2" s="232" t="s">
        <v>258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20" s="92" customFormat="1" ht="24.75" customHeight="1" x14ac:dyDescent="0.25">
      <c r="A3" s="9" t="s">
        <v>2</v>
      </c>
      <c r="B3" s="9" t="s">
        <v>259</v>
      </c>
      <c r="C3" s="9" t="s">
        <v>177</v>
      </c>
      <c r="D3" s="311" t="s">
        <v>175</v>
      </c>
      <c r="E3" s="312"/>
      <c r="F3" s="312"/>
      <c r="G3" s="313"/>
      <c r="H3" s="408"/>
      <c r="I3" s="9" t="s">
        <v>176</v>
      </c>
      <c r="J3" s="9"/>
      <c r="K3" s="9"/>
      <c r="L3" s="9"/>
      <c r="M3" s="9"/>
      <c r="N3" s="9"/>
      <c r="O3" s="9"/>
      <c r="P3" s="9"/>
      <c r="Q3" s="9"/>
      <c r="R3" s="9"/>
      <c r="S3" s="9" t="s">
        <v>260</v>
      </c>
    </row>
    <row r="4" spans="1:20" s="92" customFormat="1" ht="42" customHeight="1" x14ac:dyDescent="0.25">
      <c r="A4" s="9"/>
      <c r="B4" s="9"/>
      <c r="C4" s="9"/>
      <c r="D4" s="14" t="s">
        <v>177</v>
      </c>
      <c r="E4" s="14" t="s">
        <v>178</v>
      </c>
      <c r="F4" s="14" t="s">
        <v>179</v>
      </c>
      <c r="G4" s="14" t="s">
        <v>180</v>
      </c>
      <c r="H4" s="14">
        <v>2014</v>
      </c>
      <c r="I4" s="14">
        <v>2015</v>
      </c>
      <c r="J4" s="14">
        <v>2016</v>
      </c>
      <c r="K4" s="14">
        <v>2017</v>
      </c>
      <c r="L4" s="14">
        <v>2018</v>
      </c>
      <c r="M4" s="14">
        <v>2019</v>
      </c>
      <c r="N4" s="21">
        <v>2020</v>
      </c>
      <c r="O4" s="14">
        <v>2021</v>
      </c>
      <c r="P4" s="14">
        <v>2022</v>
      </c>
      <c r="Q4" s="14">
        <v>2023</v>
      </c>
      <c r="R4" s="14" t="s">
        <v>181</v>
      </c>
      <c r="S4" s="9"/>
    </row>
    <row r="5" spans="1:20" ht="26.25" customHeight="1" x14ac:dyDescent="0.25">
      <c r="A5" s="122" t="s">
        <v>511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</row>
    <row r="6" spans="1:20" ht="28.5" hidden="1" customHeight="1" x14ac:dyDescent="0.25">
      <c r="A6" s="409"/>
      <c r="B6" s="16"/>
      <c r="C6" s="14"/>
      <c r="D6" s="36"/>
      <c r="E6" s="14"/>
      <c r="F6" s="36" t="s">
        <v>512</v>
      </c>
      <c r="G6" s="14">
        <v>530</v>
      </c>
      <c r="H6" s="14"/>
      <c r="I6" s="114"/>
      <c r="J6" s="114"/>
      <c r="K6" s="114"/>
      <c r="L6" s="114"/>
      <c r="M6" s="114"/>
      <c r="N6" s="113"/>
      <c r="O6" s="114"/>
      <c r="P6" s="114"/>
      <c r="Q6" s="114"/>
      <c r="R6" s="114">
        <f>SUM(I6:K6)</f>
        <v>0</v>
      </c>
      <c r="S6" s="16"/>
    </row>
    <row r="7" spans="1:20" ht="21.75" customHeight="1" x14ac:dyDescent="0.25">
      <c r="A7" s="233" t="s">
        <v>513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</row>
    <row r="8" spans="1:20" ht="48" hidden="1" customHeight="1" x14ac:dyDescent="0.25">
      <c r="A8" s="199" t="s">
        <v>514</v>
      </c>
      <c r="B8" s="126" t="s">
        <v>515</v>
      </c>
      <c r="C8" s="74" t="s">
        <v>187</v>
      </c>
      <c r="D8" s="14">
        <v>975</v>
      </c>
      <c r="E8" s="36" t="s">
        <v>321</v>
      </c>
      <c r="F8" s="36" t="s">
        <v>516</v>
      </c>
      <c r="G8" s="36" t="s">
        <v>267</v>
      </c>
      <c r="H8" s="36"/>
      <c r="I8" s="16"/>
      <c r="J8" s="14"/>
      <c r="K8" s="410"/>
      <c r="L8" s="410"/>
      <c r="M8" s="410"/>
      <c r="N8" s="411"/>
      <c r="O8" s="410"/>
      <c r="P8" s="410"/>
      <c r="Q8" s="410"/>
      <c r="R8" s="114">
        <f>SUM(G8:N8)</f>
        <v>0</v>
      </c>
      <c r="S8" s="412" t="s">
        <v>517</v>
      </c>
    </row>
    <row r="9" spans="1:20" ht="56.25" customHeight="1" x14ac:dyDescent="0.25">
      <c r="A9" s="200"/>
      <c r="B9" s="128"/>
      <c r="C9" s="127"/>
      <c r="D9" s="413" t="s">
        <v>188</v>
      </c>
      <c r="E9" s="413" t="s">
        <v>321</v>
      </c>
      <c r="F9" s="36" t="s">
        <v>516</v>
      </c>
      <c r="G9" s="14">
        <v>622</v>
      </c>
      <c r="H9" s="114">
        <v>97.2</v>
      </c>
      <c r="I9" s="114"/>
      <c r="J9" s="414"/>
      <c r="L9" s="114"/>
      <c r="M9" s="114"/>
      <c r="N9" s="113"/>
      <c r="O9" s="114"/>
      <c r="P9" s="114">
        <f>O9</f>
        <v>0</v>
      </c>
      <c r="Q9" s="114">
        <f>P9</f>
        <v>0</v>
      </c>
      <c r="R9" s="114">
        <f>SUM(H9:Q9)</f>
        <v>97.2</v>
      </c>
      <c r="S9" s="256" t="s">
        <v>518</v>
      </c>
    </row>
    <row r="10" spans="1:20" ht="73.900000000000006" customHeight="1" x14ac:dyDescent="0.25">
      <c r="A10" s="203"/>
      <c r="B10" s="129"/>
      <c r="C10" s="79"/>
      <c r="D10" s="413" t="s">
        <v>188</v>
      </c>
      <c r="E10" s="413" t="s">
        <v>321</v>
      </c>
      <c r="F10" s="36" t="s">
        <v>519</v>
      </c>
      <c r="G10" s="14">
        <v>244</v>
      </c>
      <c r="H10" s="114"/>
      <c r="I10" s="114">
        <v>96</v>
      </c>
      <c r="J10" s="114">
        <v>87.9</v>
      </c>
      <c r="K10" s="114">
        <v>110.6</v>
      </c>
      <c r="L10" s="114">
        <v>175</v>
      </c>
      <c r="M10" s="114">
        <v>201.4</v>
      </c>
      <c r="N10" s="113"/>
      <c r="O10" s="114"/>
      <c r="P10" s="114"/>
      <c r="Q10" s="114">
        <f t="shared" ref="Q10:Q22" si="0">P10</f>
        <v>0</v>
      </c>
      <c r="R10" s="114">
        <f t="shared" ref="R10:R23" si="1">SUM(H10:Q10)</f>
        <v>670.9</v>
      </c>
      <c r="S10" s="260"/>
    </row>
    <row r="11" spans="1:20" ht="99" customHeight="1" x14ac:dyDescent="0.25">
      <c r="A11" s="36" t="s">
        <v>251</v>
      </c>
      <c r="B11" s="16" t="s">
        <v>520</v>
      </c>
      <c r="C11" s="14" t="s">
        <v>187</v>
      </c>
      <c r="D11" s="413" t="s">
        <v>188</v>
      </c>
      <c r="E11" s="413" t="s">
        <v>321</v>
      </c>
      <c r="F11" s="36" t="s">
        <v>516</v>
      </c>
      <c r="G11" s="14">
        <v>612</v>
      </c>
      <c r="H11" s="114">
        <v>214.3</v>
      </c>
      <c r="I11" s="114">
        <v>214.3</v>
      </c>
      <c r="J11" s="415"/>
      <c r="K11" s="416"/>
      <c r="L11" s="416"/>
      <c r="M11" s="416"/>
      <c r="N11" s="417"/>
      <c r="O11" s="416"/>
      <c r="P11" s="114">
        <f t="shared" ref="P11:P22" si="2">O11</f>
        <v>0</v>
      </c>
      <c r="Q11" s="114">
        <f t="shared" si="0"/>
        <v>0</v>
      </c>
      <c r="R11" s="114">
        <f t="shared" si="1"/>
        <v>428.6</v>
      </c>
      <c r="S11" s="177" t="s">
        <v>521</v>
      </c>
      <c r="T11" s="4">
        <v>2</v>
      </c>
    </row>
    <row r="12" spans="1:20" ht="54.75" customHeight="1" x14ac:dyDescent="0.25">
      <c r="A12" s="269" t="s">
        <v>252</v>
      </c>
      <c r="B12" s="418" t="s">
        <v>522</v>
      </c>
      <c r="C12" s="74" t="s">
        <v>187</v>
      </c>
      <c r="D12" s="419" t="s">
        <v>188</v>
      </c>
      <c r="E12" s="419" t="s">
        <v>321</v>
      </c>
      <c r="F12" s="419" t="s">
        <v>516</v>
      </c>
      <c r="G12" s="14">
        <v>622</v>
      </c>
      <c r="H12" s="114">
        <f>6.8</f>
        <v>6.8</v>
      </c>
      <c r="I12" s="114"/>
      <c r="J12" s="114"/>
      <c r="K12" s="114"/>
      <c r="L12" s="114"/>
      <c r="M12" s="114"/>
      <c r="N12" s="113"/>
      <c r="O12" s="114"/>
      <c r="P12" s="114">
        <f t="shared" si="2"/>
        <v>0</v>
      </c>
      <c r="Q12" s="114">
        <f t="shared" si="0"/>
        <v>0</v>
      </c>
      <c r="R12" s="114">
        <f t="shared" si="1"/>
        <v>6.8</v>
      </c>
      <c r="S12" s="256" t="s">
        <v>523</v>
      </c>
    </row>
    <row r="13" spans="1:20" ht="42.75" customHeight="1" x14ac:dyDescent="0.25">
      <c r="A13" s="270"/>
      <c r="B13" s="420"/>
      <c r="C13" s="79"/>
      <c r="D13" s="419" t="s">
        <v>188</v>
      </c>
      <c r="E13" s="419" t="s">
        <v>321</v>
      </c>
      <c r="F13" s="419" t="s">
        <v>516</v>
      </c>
      <c r="G13" s="421">
        <v>244</v>
      </c>
      <c r="H13" s="114"/>
      <c r="I13" s="114">
        <v>6.8</v>
      </c>
      <c r="J13" s="114"/>
      <c r="K13" s="114"/>
      <c r="L13" s="114"/>
      <c r="M13" s="114"/>
      <c r="N13" s="113"/>
      <c r="O13" s="114"/>
      <c r="P13" s="114">
        <f t="shared" si="2"/>
        <v>0</v>
      </c>
      <c r="Q13" s="114">
        <f t="shared" si="0"/>
        <v>0</v>
      </c>
      <c r="R13" s="114">
        <f t="shared" si="1"/>
        <v>6.8</v>
      </c>
      <c r="S13" s="260"/>
    </row>
    <row r="14" spans="1:20" ht="78.599999999999994" customHeight="1" x14ac:dyDescent="0.25">
      <c r="A14" s="199" t="s">
        <v>254</v>
      </c>
      <c r="B14" s="418" t="s">
        <v>524</v>
      </c>
      <c r="C14" s="74" t="s">
        <v>187</v>
      </c>
      <c r="D14" s="419" t="s">
        <v>188</v>
      </c>
      <c r="E14" s="419" t="s">
        <v>321</v>
      </c>
      <c r="F14" s="419" t="s">
        <v>525</v>
      </c>
      <c r="G14" s="421" t="s">
        <v>526</v>
      </c>
      <c r="H14" s="14">
        <v>1367.3</v>
      </c>
      <c r="I14" s="114">
        <v>1367.3</v>
      </c>
      <c r="J14" s="114">
        <v>1309.4000000000001</v>
      </c>
      <c r="K14" s="114">
        <f>1648.2</f>
        <v>1648.2</v>
      </c>
      <c r="L14" s="114">
        <v>1812.7</v>
      </c>
      <c r="M14" s="114"/>
      <c r="N14" s="113"/>
      <c r="O14" s="113">
        <v>2452.8000000000002</v>
      </c>
      <c r="P14" s="113">
        <f t="shared" si="2"/>
        <v>2452.8000000000002</v>
      </c>
      <c r="Q14" s="113">
        <f t="shared" si="0"/>
        <v>2452.8000000000002</v>
      </c>
      <c r="R14" s="114">
        <f t="shared" si="1"/>
        <v>14863.3</v>
      </c>
      <c r="S14" s="256" t="s">
        <v>527</v>
      </c>
    </row>
    <row r="15" spans="1:20" ht="49.5" customHeight="1" x14ac:dyDescent="0.25">
      <c r="A15" s="200"/>
      <c r="B15" s="420"/>
      <c r="C15" s="127"/>
      <c r="D15" s="419" t="s">
        <v>188</v>
      </c>
      <c r="E15" s="419" t="s">
        <v>321</v>
      </c>
      <c r="F15" s="419" t="s">
        <v>528</v>
      </c>
      <c r="G15" s="421">
        <v>622</v>
      </c>
      <c r="H15" s="14">
        <v>344.4</v>
      </c>
      <c r="I15" s="114">
        <v>344.4</v>
      </c>
      <c r="J15" s="114">
        <v>338.1</v>
      </c>
      <c r="K15" s="422">
        <v>0</v>
      </c>
      <c r="L15" s="114"/>
      <c r="M15" s="114"/>
      <c r="N15" s="113"/>
      <c r="O15" s="114"/>
      <c r="P15" s="114">
        <f t="shared" si="2"/>
        <v>0</v>
      </c>
      <c r="Q15" s="114">
        <f t="shared" si="0"/>
        <v>0</v>
      </c>
      <c r="R15" s="114">
        <f t="shared" si="1"/>
        <v>1026.9000000000001</v>
      </c>
      <c r="S15" s="386"/>
    </row>
    <row r="16" spans="1:20" ht="46.5" customHeight="1" x14ac:dyDescent="0.25">
      <c r="A16" s="200"/>
      <c r="B16" s="418" t="s">
        <v>529</v>
      </c>
      <c r="C16" s="127"/>
      <c r="D16" s="419" t="s">
        <v>188</v>
      </c>
      <c r="E16" s="419" t="s">
        <v>321</v>
      </c>
      <c r="F16" s="419" t="s">
        <v>530</v>
      </c>
      <c r="G16" s="421" t="s">
        <v>531</v>
      </c>
      <c r="H16" s="14">
        <v>1.4</v>
      </c>
      <c r="I16" s="114">
        <v>286.10000000000002</v>
      </c>
      <c r="J16" s="114">
        <v>746.2</v>
      </c>
      <c r="K16" s="114">
        <v>358.1</v>
      </c>
      <c r="L16" s="114">
        <v>358.1</v>
      </c>
      <c r="M16" s="114">
        <v>401.7</v>
      </c>
      <c r="N16" s="113"/>
      <c r="O16" s="114"/>
      <c r="P16" s="114"/>
      <c r="Q16" s="114"/>
      <c r="R16" s="114">
        <f t="shared" si="1"/>
        <v>2151.6</v>
      </c>
      <c r="S16" s="386"/>
    </row>
    <row r="17" spans="1:20" ht="79.150000000000006" customHeight="1" x14ac:dyDescent="0.25">
      <c r="A17" s="200"/>
      <c r="B17" s="420"/>
      <c r="C17" s="127"/>
      <c r="D17" s="419" t="s">
        <v>188</v>
      </c>
      <c r="E17" s="419" t="s">
        <v>321</v>
      </c>
      <c r="F17" s="419" t="s">
        <v>532</v>
      </c>
      <c r="G17" s="421" t="s">
        <v>533</v>
      </c>
      <c r="H17" s="14">
        <v>0.4</v>
      </c>
      <c r="I17" s="114">
        <v>72.099999999999994</v>
      </c>
      <c r="J17" s="114">
        <v>73.5</v>
      </c>
      <c r="K17" s="114">
        <v>580.79999999999995</v>
      </c>
      <c r="L17" s="114">
        <v>516.5</v>
      </c>
      <c r="M17" s="114">
        <v>579.79999999999995</v>
      </c>
      <c r="N17" s="113"/>
      <c r="O17" s="113">
        <v>831.3</v>
      </c>
      <c r="P17" s="114"/>
      <c r="Q17" s="114"/>
      <c r="R17" s="114">
        <f t="shared" si="1"/>
        <v>2654.3999999999996</v>
      </c>
      <c r="S17" s="386"/>
    </row>
    <row r="18" spans="1:20" ht="62.25" customHeight="1" x14ac:dyDescent="0.25">
      <c r="A18" s="203"/>
      <c r="B18" s="423" t="s">
        <v>534</v>
      </c>
      <c r="C18" s="79"/>
      <c r="D18" s="419" t="s">
        <v>188</v>
      </c>
      <c r="E18" s="419" t="s">
        <v>321</v>
      </c>
      <c r="F18" s="419" t="s">
        <v>185</v>
      </c>
      <c r="G18" s="419" t="s">
        <v>185</v>
      </c>
      <c r="H18" s="114">
        <v>533</v>
      </c>
      <c r="I18" s="114">
        <v>705.2</v>
      </c>
      <c r="J18" s="114">
        <v>691.4</v>
      </c>
      <c r="K18" s="114">
        <v>691.4</v>
      </c>
      <c r="L18" s="114">
        <v>691.4</v>
      </c>
      <c r="M18" s="114">
        <f>579.8+201.4</f>
        <v>781.19999999999993</v>
      </c>
      <c r="N18" s="113">
        <v>0</v>
      </c>
      <c r="O18" s="114">
        <v>0</v>
      </c>
      <c r="P18" s="114">
        <v>0</v>
      </c>
      <c r="Q18" s="114">
        <f t="shared" si="0"/>
        <v>0</v>
      </c>
      <c r="R18" s="114">
        <f t="shared" si="1"/>
        <v>4093.6</v>
      </c>
      <c r="S18" s="260"/>
    </row>
    <row r="19" spans="1:20" ht="95.45" customHeight="1" x14ac:dyDescent="0.25">
      <c r="A19" s="424"/>
      <c r="B19" s="423" t="s">
        <v>535</v>
      </c>
      <c r="C19" s="14" t="s">
        <v>187</v>
      </c>
      <c r="D19" s="419" t="s">
        <v>188</v>
      </c>
      <c r="E19" s="419" t="s">
        <v>321</v>
      </c>
      <c r="F19" s="419" t="s">
        <v>536</v>
      </c>
      <c r="G19" s="419" t="s">
        <v>537</v>
      </c>
      <c r="H19" s="114"/>
      <c r="I19" s="114"/>
      <c r="J19" s="114"/>
      <c r="K19" s="114"/>
      <c r="L19" s="114"/>
      <c r="M19" s="114"/>
      <c r="N19" s="113"/>
      <c r="O19" s="114"/>
      <c r="P19" s="114">
        <f t="shared" si="2"/>
        <v>0</v>
      </c>
      <c r="Q19" s="114">
        <f t="shared" si="0"/>
        <v>0</v>
      </c>
      <c r="R19" s="114">
        <f t="shared" si="1"/>
        <v>0</v>
      </c>
      <c r="S19" s="347"/>
    </row>
    <row r="20" spans="1:20" ht="129.75" customHeight="1" x14ac:dyDescent="0.25">
      <c r="A20" s="409" t="s">
        <v>333</v>
      </c>
      <c r="B20" s="425" t="s">
        <v>538</v>
      </c>
      <c r="C20" s="14" t="s">
        <v>187</v>
      </c>
      <c r="D20" s="36" t="s">
        <v>188</v>
      </c>
      <c r="E20" s="36" t="s">
        <v>321</v>
      </c>
      <c r="F20" s="36" t="s">
        <v>539</v>
      </c>
      <c r="G20" s="36" t="s">
        <v>540</v>
      </c>
      <c r="H20" s="114">
        <v>2887.9</v>
      </c>
      <c r="I20" s="114">
        <v>3076.7</v>
      </c>
      <c r="J20" s="114">
        <v>2913.1</v>
      </c>
      <c r="K20" s="114">
        <v>2917.5</v>
      </c>
      <c r="L20" s="114">
        <v>3303.7</v>
      </c>
      <c r="M20" s="114">
        <v>5258.7</v>
      </c>
      <c r="N20" s="113"/>
      <c r="O20" s="113">
        <v>4662.1000000000004</v>
      </c>
      <c r="P20" s="114">
        <v>4662.1000000000004</v>
      </c>
      <c r="Q20" s="114">
        <f t="shared" si="0"/>
        <v>4662.1000000000004</v>
      </c>
      <c r="R20" s="114">
        <f t="shared" si="1"/>
        <v>34343.9</v>
      </c>
      <c r="S20" s="348" t="s">
        <v>541</v>
      </c>
      <c r="T20" s="4">
        <v>4</v>
      </c>
    </row>
    <row r="21" spans="1:20" ht="140.25" customHeight="1" x14ac:dyDescent="0.25">
      <c r="A21" s="409" t="s">
        <v>542</v>
      </c>
      <c r="B21" s="425" t="s">
        <v>543</v>
      </c>
      <c r="C21" s="14" t="s">
        <v>187</v>
      </c>
      <c r="D21" s="36" t="s">
        <v>188</v>
      </c>
      <c r="E21" s="36" t="s">
        <v>321</v>
      </c>
      <c r="F21" s="36" t="s">
        <v>544</v>
      </c>
      <c r="G21" s="36" t="s">
        <v>300</v>
      </c>
      <c r="H21" s="114">
        <v>1476.3</v>
      </c>
      <c r="I21" s="114">
        <v>1534.3</v>
      </c>
      <c r="J21" s="114">
        <v>1254.8</v>
      </c>
      <c r="K21" s="114">
        <v>1265.7</v>
      </c>
      <c r="L21" s="114">
        <v>1123.4000000000001</v>
      </c>
      <c r="M21" s="114">
        <v>1171.3</v>
      </c>
      <c r="N21" s="113"/>
      <c r="O21" s="113">
        <v>1632</v>
      </c>
      <c r="P21" s="114"/>
      <c r="Q21" s="114"/>
      <c r="R21" s="114">
        <f t="shared" si="1"/>
        <v>9457.7999999999993</v>
      </c>
      <c r="S21" s="348" t="s">
        <v>545</v>
      </c>
    </row>
    <row r="22" spans="1:20" ht="140.25" hidden="1" customHeight="1" x14ac:dyDescent="0.25">
      <c r="A22" s="409" t="s">
        <v>546</v>
      </c>
      <c r="B22" s="425" t="s">
        <v>547</v>
      </c>
      <c r="C22" s="14" t="s">
        <v>187</v>
      </c>
      <c r="D22" s="36"/>
      <c r="E22" s="36"/>
      <c r="F22" s="36"/>
      <c r="G22" s="36"/>
      <c r="H22" s="114"/>
      <c r="I22" s="114"/>
      <c r="J22" s="426"/>
      <c r="K22" s="114"/>
      <c r="L22" s="114"/>
      <c r="M22" s="114"/>
      <c r="N22" s="113"/>
      <c r="O22" s="114"/>
      <c r="P22" s="114">
        <f t="shared" si="2"/>
        <v>0</v>
      </c>
      <c r="Q22" s="114">
        <f t="shared" si="0"/>
        <v>0</v>
      </c>
      <c r="R22" s="114">
        <f t="shared" si="1"/>
        <v>0</v>
      </c>
      <c r="S22" s="272"/>
    </row>
    <row r="23" spans="1:20" ht="21" customHeight="1" x14ac:dyDescent="0.25">
      <c r="A23" s="427" t="s">
        <v>324</v>
      </c>
      <c r="B23" s="427"/>
      <c r="C23" s="58"/>
      <c r="D23" s="58"/>
      <c r="E23" s="58"/>
      <c r="F23" s="58"/>
      <c r="G23" s="58"/>
      <c r="H23" s="114">
        <f>SUM(H9:H22)</f>
        <v>6929.0000000000009</v>
      </c>
      <c r="I23" s="114">
        <f>SUM(I9:I22)</f>
        <v>7703.2</v>
      </c>
      <c r="J23" s="114">
        <f>SUM(J9:J22)</f>
        <v>7414.4000000000005</v>
      </c>
      <c r="K23" s="114">
        <f t="shared" ref="K23:Q23" si="3">SUM(K8:K22)</f>
        <v>7572.3</v>
      </c>
      <c r="L23" s="114">
        <f t="shared" si="3"/>
        <v>7980.7999999999993</v>
      </c>
      <c r="M23" s="114">
        <f t="shared" si="3"/>
        <v>8394.0999999999985</v>
      </c>
      <c r="N23" s="113">
        <f t="shared" si="3"/>
        <v>0</v>
      </c>
      <c r="O23" s="114">
        <f t="shared" si="3"/>
        <v>9578.2000000000007</v>
      </c>
      <c r="P23" s="114">
        <f t="shared" si="3"/>
        <v>7114.9000000000005</v>
      </c>
      <c r="Q23" s="114">
        <f t="shared" si="3"/>
        <v>7114.9000000000005</v>
      </c>
      <c r="R23" s="114">
        <f t="shared" si="1"/>
        <v>69801.8</v>
      </c>
      <c r="S23" s="123"/>
    </row>
    <row r="24" spans="1:20" s="393" customFormat="1" ht="30" customHeight="1" x14ac:dyDescent="0.25">
      <c r="A24" s="428" t="s">
        <v>548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28"/>
    </row>
    <row r="25" spans="1:20" ht="35.1" customHeight="1" x14ac:dyDescent="0.25">
      <c r="A25" s="429" t="s">
        <v>335</v>
      </c>
      <c r="B25" s="430" t="s">
        <v>549</v>
      </c>
      <c r="C25" s="143" t="s">
        <v>187</v>
      </c>
      <c r="D25" s="235" t="s">
        <v>188</v>
      </c>
      <c r="E25" s="235" t="s">
        <v>321</v>
      </c>
      <c r="F25" s="235" t="s">
        <v>516</v>
      </c>
      <c r="G25" s="235" t="s">
        <v>302</v>
      </c>
      <c r="H25" s="113">
        <v>18.7</v>
      </c>
      <c r="I25" s="113"/>
      <c r="J25" s="113"/>
      <c r="K25" s="123"/>
      <c r="L25" s="123"/>
      <c r="M25" s="123"/>
      <c r="N25" s="125"/>
      <c r="O25" s="123"/>
      <c r="P25" s="123">
        <f>O25</f>
        <v>0</v>
      </c>
      <c r="Q25" s="123">
        <f>P25</f>
        <v>0</v>
      </c>
      <c r="R25" s="431">
        <f>SUM(H25:Q25)</f>
        <v>18.7</v>
      </c>
      <c r="S25" s="430" t="s">
        <v>550</v>
      </c>
    </row>
    <row r="26" spans="1:20" ht="35.1" customHeight="1" x14ac:dyDescent="0.25">
      <c r="A26" s="432"/>
      <c r="B26" s="433"/>
      <c r="C26" s="206"/>
      <c r="D26" s="235" t="s">
        <v>188</v>
      </c>
      <c r="E26" s="235" t="s">
        <v>321</v>
      </c>
      <c r="F26" s="235" t="s">
        <v>516</v>
      </c>
      <c r="G26" s="235" t="s">
        <v>267</v>
      </c>
      <c r="H26" s="113"/>
      <c r="I26" s="113">
        <v>18.7</v>
      </c>
      <c r="J26" s="113"/>
      <c r="K26" s="416"/>
      <c r="L26" s="416"/>
      <c r="M26" s="416"/>
      <c r="N26" s="417"/>
      <c r="O26" s="416"/>
      <c r="P26" s="123">
        <f t="shared" ref="P26:Q38" si="4">O26</f>
        <v>0</v>
      </c>
      <c r="Q26" s="123">
        <f t="shared" si="4"/>
        <v>0</v>
      </c>
      <c r="R26" s="431">
        <f t="shared" ref="R26:R38" si="5">SUM(H26:Q26)</f>
        <v>18.7</v>
      </c>
      <c r="S26" s="433"/>
    </row>
    <row r="27" spans="1:20" ht="35.1" customHeight="1" x14ac:dyDescent="0.25">
      <c r="A27" s="429" t="s">
        <v>336</v>
      </c>
      <c r="B27" s="434" t="s">
        <v>551</v>
      </c>
      <c r="C27" s="143" t="s">
        <v>187</v>
      </c>
      <c r="D27" s="235" t="s">
        <v>188</v>
      </c>
      <c r="E27" s="235" t="s">
        <v>321</v>
      </c>
      <c r="F27" s="235" t="s">
        <v>516</v>
      </c>
      <c r="G27" s="235" t="s">
        <v>302</v>
      </c>
      <c r="H27" s="431">
        <v>13.05</v>
      </c>
      <c r="I27" s="113"/>
      <c r="J27" s="113"/>
      <c r="K27" s="114"/>
      <c r="L27" s="114"/>
      <c r="M27" s="114"/>
      <c r="N27" s="113"/>
      <c r="O27" s="114"/>
      <c r="P27" s="123">
        <f t="shared" si="4"/>
        <v>0</v>
      </c>
      <c r="Q27" s="123">
        <f t="shared" si="4"/>
        <v>0</v>
      </c>
      <c r="R27" s="431">
        <f t="shared" si="5"/>
        <v>13.05</v>
      </c>
      <c r="S27" s="430" t="s">
        <v>552</v>
      </c>
    </row>
    <row r="28" spans="1:20" ht="35.1" customHeight="1" x14ac:dyDescent="0.25">
      <c r="A28" s="432"/>
      <c r="B28" s="435"/>
      <c r="C28" s="206"/>
      <c r="D28" s="235" t="s">
        <v>188</v>
      </c>
      <c r="E28" s="235" t="s">
        <v>321</v>
      </c>
      <c r="F28" s="259" t="s">
        <v>516</v>
      </c>
      <c r="G28" s="259" t="s">
        <v>267</v>
      </c>
      <c r="H28" s="431">
        <v>16.25</v>
      </c>
      <c r="I28" s="431">
        <v>29.3</v>
      </c>
      <c r="J28" s="431"/>
      <c r="K28" s="416"/>
      <c r="L28" s="416"/>
      <c r="M28" s="416"/>
      <c r="N28" s="417"/>
      <c r="O28" s="416"/>
      <c r="P28" s="123">
        <f t="shared" si="4"/>
        <v>0</v>
      </c>
      <c r="Q28" s="123">
        <f t="shared" si="4"/>
        <v>0</v>
      </c>
      <c r="R28" s="431">
        <f t="shared" si="5"/>
        <v>45.55</v>
      </c>
      <c r="S28" s="433"/>
    </row>
    <row r="29" spans="1:20" ht="35.1" customHeight="1" x14ac:dyDescent="0.25">
      <c r="A29" s="436" t="s">
        <v>337</v>
      </c>
      <c r="B29" s="437" t="s">
        <v>553</v>
      </c>
      <c r="C29" s="143" t="s">
        <v>187</v>
      </c>
      <c r="D29" s="235" t="s">
        <v>188</v>
      </c>
      <c r="E29" s="211" t="s">
        <v>321</v>
      </c>
      <c r="F29" s="259" t="s">
        <v>516</v>
      </c>
      <c r="G29" s="259" t="s">
        <v>302</v>
      </c>
      <c r="H29" s="20">
        <v>13.7</v>
      </c>
      <c r="I29" s="20"/>
      <c r="J29" s="20"/>
      <c r="K29" s="20"/>
      <c r="L29" s="20"/>
      <c r="M29" s="20"/>
      <c r="N29" s="20"/>
      <c r="O29" s="20"/>
      <c r="P29" s="123">
        <f t="shared" si="4"/>
        <v>0</v>
      </c>
      <c r="Q29" s="123">
        <f t="shared" si="4"/>
        <v>0</v>
      </c>
      <c r="R29" s="431">
        <f t="shared" si="5"/>
        <v>13.7</v>
      </c>
      <c r="S29" s="438"/>
    </row>
    <row r="30" spans="1:20" ht="35.1" customHeight="1" x14ac:dyDescent="0.25">
      <c r="A30" s="439"/>
      <c r="B30" s="440"/>
      <c r="C30" s="145"/>
      <c r="D30" s="235" t="s">
        <v>188</v>
      </c>
      <c r="E30" s="441" t="s">
        <v>321</v>
      </c>
      <c r="F30" s="259" t="s">
        <v>516</v>
      </c>
      <c r="G30" s="259" t="s">
        <v>267</v>
      </c>
      <c r="H30" s="20"/>
      <c r="I30" s="20">
        <v>13.7</v>
      </c>
      <c r="J30" s="20"/>
      <c r="K30" s="20"/>
      <c r="L30" s="20"/>
      <c r="M30" s="20"/>
      <c r="N30" s="20"/>
      <c r="O30" s="20"/>
      <c r="P30" s="123">
        <f t="shared" si="4"/>
        <v>0</v>
      </c>
      <c r="Q30" s="123">
        <f t="shared" si="4"/>
        <v>0</v>
      </c>
      <c r="R30" s="431">
        <f t="shared" si="5"/>
        <v>13.7</v>
      </c>
      <c r="S30" s="442"/>
    </row>
    <row r="31" spans="1:20" ht="35.1" customHeight="1" x14ac:dyDescent="0.25">
      <c r="A31" s="439"/>
      <c r="B31" s="440"/>
      <c r="C31" s="145"/>
      <c r="D31" s="235" t="s">
        <v>188</v>
      </c>
      <c r="E31" s="211" t="s">
        <v>321</v>
      </c>
      <c r="F31" s="259" t="s">
        <v>554</v>
      </c>
      <c r="G31" s="259" t="s">
        <v>396</v>
      </c>
      <c r="H31" s="20"/>
      <c r="I31" s="20"/>
      <c r="J31" s="20"/>
      <c r="K31" s="13">
        <v>83</v>
      </c>
      <c r="L31" s="13"/>
      <c r="M31" s="13"/>
      <c r="N31" s="20"/>
      <c r="O31" s="13"/>
      <c r="P31" s="123">
        <f t="shared" si="4"/>
        <v>0</v>
      </c>
      <c r="Q31" s="123">
        <f t="shared" si="4"/>
        <v>0</v>
      </c>
      <c r="R31" s="431">
        <f t="shared" si="5"/>
        <v>83</v>
      </c>
      <c r="S31" s="442"/>
    </row>
    <row r="32" spans="1:20" ht="35.1" customHeight="1" x14ac:dyDescent="0.25">
      <c r="A32" s="439"/>
      <c r="B32" s="440"/>
      <c r="C32" s="145"/>
      <c r="D32" s="235" t="s">
        <v>188</v>
      </c>
      <c r="E32" s="441" t="s">
        <v>321</v>
      </c>
      <c r="F32" s="259" t="s">
        <v>554</v>
      </c>
      <c r="G32" s="259" t="s">
        <v>267</v>
      </c>
      <c r="H32" s="20"/>
      <c r="I32" s="20"/>
      <c r="J32" s="20"/>
      <c r="K32" s="13">
        <v>371.8</v>
      </c>
      <c r="L32" s="13"/>
      <c r="M32" s="13"/>
      <c r="N32" s="20"/>
      <c r="O32" s="13"/>
      <c r="P32" s="123">
        <f t="shared" si="4"/>
        <v>0</v>
      </c>
      <c r="Q32" s="123">
        <f t="shared" si="4"/>
        <v>0</v>
      </c>
      <c r="R32" s="431">
        <f t="shared" si="5"/>
        <v>371.8</v>
      </c>
      <c r="S32" s="442"/>
    </row>
    <row r="33" spans="1:19" ht="35.1" customHeight="1" x14ac:dyDescent="0.25">
      <c r="A33" s="443"/>
      <c r="B33" s="444"/>
      <c r="C33" s="206"/>
      <c r="D33" s="235" t="s">
        <v>188</v>
      </c>
      <c r="E33" s="211" t="s">
        <v>321</v>
      </c>
      <c r="F33" s="259" t="s">
        <v>555</v>
      </c>
      <c r="G33" s="259" t="s">
        <v>269</v>
      </c>
      <c r="H33" s="20"/>
      <c r="I33" s="20"/>
      <c r="J33" s="20"/>
      <c r="K33" s="13">
        <v>31.2</v>
      </c>
      <c r="L33" s="13"/>
      <c r="M33" s="13"/>
      <c r="N33" s="20"/>
      <c r="O33" s="13"/>
      <c r="P33" s="123">
        <f t="shared" si="4"/>
        <v>0</v>
      </c>
      <c r="Q33" s="123">
        <f t="shared" si="4"/>
        <v>0</v>
      </c>
      <c r="R33" s="431">
        <f t="shared" si="5"/>
        <v>31.2</v>
      </c>
      <c r="S33" s="445"/>
    </row>
    <row r="34" spans="1:19" s="34" customFormat="1" ht="35.1" customHeight="1" x14ac:dyDescent="0.25">
      <c r="A34" s="446" t="s">
        <v>464</v>
      </c>
      <c r="B34" s="446"/>
      <c r="C34" s="33"/>
      <c r="D34" s="33"/>
      <c r="E34" s="33"/>
      <c r="F34" s="33"/>
      <c r="G34" s="33"/>
      <c r="H34" s="114">
        <f>H25+H26+H27+H28+H29+H30</f>
        <v>61.7</v>
      </c>
      <c r="I34" s="114">
        <f>I25+I26+I27+I28+I29+I30</f>
        <v>61.7</v>
      </c>
      <c r="J34" s="114">
        <f>J25+J26+J27+J28+J29+J30</f>
        <v>0</v>
      </c>
      <c r="K34" s="114">
        <f>SUM(K26:K33)</f>
        <v>486</v>
      </c>
      <c r="L34" s="114">
        <f>SUM(L26:L33)</f>
        <v>0</v>
      </c>
      <c r="M34" s="114">
        <f>SUM(M26:M33)</f>
        <v>0</v>
      </c>
      <c r="N34" s="113">
        <f>SUM(N26:N33)</f>
        <v>0</v>
      </c>
      <c r="O34" s="114"/>
      <c r="P34" s="123">
        <f t="shared" si="4"/>
        <v>0</v>
      </c>
      <c r="Q34" s="123">
        <f t="shared" si="4"/>
        <v>0</v>
      </c>
      <c r="R34" s="431">
        <f t="shared" si="5"/>
        <v>609.4</v>
      </c>
      <c r="S34" s="13"/>
    </row>
    <row r="35" spans="1:19" ht="35.1" customHeight="1" x14ac:dyDescent="0.25">
      <c r="A35" s="447" t="s">
        <v>325</v>
      </c>
      <c r="B35" s="447"/>
      <c r="C35" s="53"/>
      <c r="D35" s="53"/>
      <c r="E35" s="53"/>
      <c r="F35" s="53"/>
      <c r="G35" s="53"/>
      <c r="H35" s="114">
        <f t="shared" ref="H35:M35" si="6">H23+H34</f>
        <v>6990.7000000000007</v>
      </c>
      <c r="I35" s="114">
        <f t="shared" si="6"/>
        <v>7764.9</v>
      </c>
      <c r="J35" s="114">
        <f t="shared" si="6"/>
        <v>7414.4000000000005</v>
      </c>
      <c r="K35" s="114">
        <f>K23+K34</f>
        <v>8058.3</v>
      </c>
      <c r="L35" s="114">
        <f t="shared" si="6"/>
        <v>7980.7999999999993</v>
      </c>
      <c r="M35" s="114">
        <f t="shared" si="6"/>
        <v>8394.0999999999985</v>
      </c>
      <c r="N35" s="113">
        <f>N23+N34</f>
        <v>0</v>
      </c>
      <c r="O35" s="114">
        <f>O23+O34</f>
        <v>9578.2000000000007</v>
      </c>
      <c r="P35" s="114">
        <f>P23+P34</f>
        <v>7114.9000000000005</v>
      </c>
      <c r="Q35" s="114">
        <f>Q23+Q34</f>
        <v>7114.9000000000005</v>
      </c>
      <c r="R35" s="431">
        <f t="shared" si="5"/>
        <v>70411.199999999997</v>
      </c>
      <c r="S35" s="123"/>
    </row>
    <row r="36" spans="1:19" ht="35.1" customHeight="1" x14ac:dyDescent="0.25">
      <c r="A36" s="277" t="s">
        <v>326</v>
      </c>
      <c r="B36" s="278"/>
      <c r="C36" s="53"/>
      <c r="D36" s="53"/>
      <c r="E36" s="53"/>
      <c r="F36" s="53"/>
      <c r="G36" s="53"/>
      <c r="H36" s="114">
        <f>H14+H15+H20</f>
        <v>4599.6000000000004</v>
      </c>
      <c r="I36" s="114">
        <f>I14+I15+I20</f>
        <v>4788.3999999999996</v>
      </c>
      <c r="J36" s="114">
        <f>J14+J15+J20</f>
        <v>4560.6000000000004</v>
      </c>
      <c r="K36" s="114">
        <f>K14+K15+K20</f>
        <v>4565.7</v>
      </c>
      <c r="L36" s="114">
        <f t="shared" ref="L36:Q36" si="7">L14+L15+L20+L19</f>
        <v>5116.3999999999996</v>
      </c>
      <c r="M36" s="114">
        <f t="shared" si="7"/>
        <v>5258.7</v>
      </c>
      <c r="N36" s="113">
        <f t="shared" si="7"/>
        <v>0</v>
      </c>
      <c r="O36" s="114">
        <f t="shared" si="7"/>
        <v>7114.9000000000005</v>
      </c>
      <c r="P36" s="114">
        <f t="shared" si="7"/>
        <v>7114.9000000000005</v>
      </c>
      <c r="Q36" s="114">
        <f t="shared" si="7"/>
        <v>7114.9000000000005</v>
      </c>
      <c r="R36" s="431">
        <f t="shared" si="5"/>
        <v>50234.1</v>
      </c>
      <c r="S36" s="123"/>
    </row>
    <row r="37" spans="1:19" ht="35.1" customHeight="1" x14ac:dyDescent="0.25">
      <c r="A37" s="277" t="s">
        <v>327</v>
      </c>
      <c r="B37" s="278"/>
      <c r="C37" s="53"/>
      <c r="D37" s="53"/>
      <c r="E37" s="53"/>
      <c r="F37" s="53"/>
      <c r="G37" s="53"/>
      <c r="H37" s="114">
        <f>H9+H10+H11+H12+H13+H16+H17+H21+H25+H26+H27+H28+H29+H30+H31+H32+H33</f>
        <v>1858.1</v>
      </c>
      <c r="I37" s="114">
        <f>I9+I10+I11+I12+I13+I16+I17+I21+I25+I26+I27+I28+I29+I30+I31+I32+I33</f>
        <v>2271.2999999999997</v>
      </c>
      <c r="J37" s="114">
        <f>J9+J10+J11+J12+J13+J16+J17+J21+J25+J26+J27+J28+J29+J30+J31+J32+J33</f>
        <v>2162.4</v>
      </c>
      <c r="K37" s="114">
        <f t="shared" ref="K37:Q37" si="8">K9+K10+K11+K12+K13+K16+K17+K21+K26+K27+K28+K29+K30+K31+K32+K33+K25</f>
        <v>2801.2</v>
      </c>
      <c r="L37" s="114">
        <f t="shared" si="8"/>
        <v>2173</v>
      </c>
      <c r="M37" s="114">
        <f t="shared" si="8"/>
        <v>2354.1999999999998</v>
      </c>
      <c r="N37" s="113">
        <f t="shared" si="8"/>
        <v>0</v>
      </c>
      <c r="O37" s="114">
        <f t="shared" si="8"/>
        <v>2463.3000000000002</v>
      </c>
      <c r="P37" s="114">
        <f t="shared" si="8"/>
        <v>0</v>
      </c>
      <c r="Q37" s="114">
        <f t="shared" si="8"/>
        <v>0</v>
      </c>
      <c r="R37" s="431">
        <f t="shared" si="5"/>
        <v>16083.5</v>
      </c>
      <c r="S37" s="123"/>
    </row>
    <row r="38" spans="1:19" ht="35.1" customHeight="1" x14ac:dyDescent="0.25">
      <c r="A38" s="277" t="s">
        <v>328</v>
      </c>
      <c r="B38" s="278"/>
      <c r="C38" s="53"/>
      <c r="D38" s="53"/>
      <c r="E38" s="53"/>
      <c r="F38" s="53"/>
      <c r="G38" s="53"/>
      <c r="H38" s="114">
        <f t="shared" ref="H38:M38" si="9">H18</f>
        <v>533</v>
      </c>
      <c r="I38" s="114">
        <f t="shared" si="9"/>
        <v>705.2</v>
      </c>
      <c r="J38" s="114">
        <f t="shared" si="9"/>
        <v>691.4</v>
      </c>
      <c r="K38" s="114">
        <f t="shared" si="9"/>
        <v>691.4</v>
      </c>
      <c r="L38" s="114">
        <f t="shared" si="9"/>
        <v>691.4</v>
      </c>
      <c r="M38" s="114">
        <f t="shared" si="9"/>
        <v>781.19999999999993</v>
      </c>
      <c r="N38" s="113">
        <f>N18</f>
        <v>0</v>
      </c>
      <c r="O38" s="114">
        <f>O18</f>
        <v>0</v>
      </c>
      <c r="P38" s="40">
        <f t="shared" si="4"/>
        <v>0</v>
      </c>
      <c r="Q38" s="40">
        <f t="shared" si="4"/>
        <v>0</v>
      </c>
      <c r="R38" s="431">
        <f t="shared" si="5"/>
        <v>4093.6</v>
      </c>
      <c r="S38" s="123"/>
    </row>
    <row r="39" spans="1:19" s="453" customFormat="1" ht="35.1" customHeight="1" x14ac:dyDescent="0.25">
      <c r="A39" s="448"/>
      <c r="B39" s="448"/>
      <c r="C39" s="449"/>
      <c r="D39" s="449"/>
      <c r="E39" s="449"/>
      <c r="F39" s="449"/>
      <c r="G39" s="449"/>
      <c r="H39" s="449"/>
      <c r="I39" s="450"/>
      <c r="J39" s="450"/>
      <c r="K39" s="451"/>
      <c r="L39" s="451"/>
      <c r="M39" s="451"/>
      <c r="N39" s="452"/>
      <c r="O39" s="451"/>
      <c r="P39" s="451"/>
      <c r="Q39" s="451"/>
      <c r="R39" s="451"/>
    </row>
    <row r="40" spans="1:19" ht="35.1" customHeight="1" x14ac:dyDescent="0.3">
      <c r="A40" s="454" t="s">
        <v>159</v>
      </c>
      <c r="B40" s="454"/>
      <c r="C40" s="454"/>
      <c r="D40" s="455"/>
      <c r="E40" s="455"/>
      <c r="F40" s="455"/>
      <c r="G40" s="455"/>
      <c r="H40" s="455"/>
      <c r="I40" s="456"/>
      <c r="J40" s="317"/>
      <c r="K40" s="317"/>
      <c r="L40" s="317"/>
      <c r="M40" s="317"/>
      <c r="N40" s="457"/>
      <c r="O40" s="317"/>
      <c r="P40" s="317"/>
      <c r="Q40" s="317"/>
      <c r="R40" s="317"/>
      <c r="S40" s="458" t="s">
        <v>160</v>
      </c>
    </row>
    <row r="41" spans="1:19" x14ac:dyDescent="0.25">
      <c r="A41" s="297"/>
      <c r="B41" s="298"/>
      <c r="C41" s="299"/>
      <c r="D41" s="299"/>
      <c r="E41" s="299"/>
      <c r="F41" s="299"/>
      <c r="G41" s="299"/>
      <c r="H41" s="299"/>
    </row>
    <row r="42" spans="1:19" x14ac:dyDescent="0.25">
      <c r="A42" s="297"/>
      <c r="B42" s="298"/>
      <c r="C42" s="299"/>
      <c r="D42" s="299"/>
      <c r="E42" s="299"/>
      <c r="F42" s="299"/>
      <c r="G42" s="299"/>
      <c r="H42" s="299"/>
    </row>
    <row r="43" spans="1:19" x14ac:dyDescent="0.25">
      <c r="A43" s="297"/>
      <c r="B43" s="298"/>
      <c r="C43" s="299"/>
      <c r="D43" s="299"/>
      <c r="E43" s="299"/>
      <c r="F43" s="299"/>
      <c r="G43" s="299"/>
      <c r="H43" s="299"/>
    </row>
    <row r="44" spans="1:19" x14ac:dyDescent="0.25">
      <c r="A44" s="297"/>
      <c r="B44" s="298"/>
      <c r="C44" s="299"/>
      <c r="D44" s="299"/>
      <c r="E44" s="299"/>
      <c r="F44" s="299"/>
      <c r="G44" s="299"/>
      <c r="H44" s="299"/>
    </row>
    <row r="45" spans="1:19" x14ac:dyDescent="0.25">
      <c r="A45" s="297"/>
      <c r="B45" s="298"/>
      <c r="C45" s="299"/>
      <c r="D45" s="299"/>
      <c r="E45" s="299"/>
      <c r="F45" s="299"/>
      <c r="G45" s="299"/>
      <c r="H45" s="299"/>
    </row>
    <row r="46" spans="1:19" x14ac:dyDescent="0.25">
      <c r="A46" s="297"/>
      <c r="B46" s="298"/>
      <c r="C46" s="299"/>
      <c r="D46" s="299"/>
      <c r="E46" s="299"/>
      <c r="F46" s="299"/>
      <c r="G46" s="299"/>
      <c r="H46" s="299"/>
    </row>
    <row r="47" spans="1:19" x14ac:dyDescent="0.25">
      <c r="A47" s="297"/>
      <c r="B47" s="298"/>
      <c r="C47" s="299"/>
      <c r="D47" s="299"/>
      <c r="E47" s="299"/>
      <c r="F47" s="299"/>
      <c r="G47" s="299"/>
      <c r="H47" s="299"/>
    </row>
    <row r="48" spans="1:19" x14ac:dyDescent="0.25">
      <c r="A48" s="297"/>
      <c r="B48" s="298"/>
      <c r="C48" s="299"/>
      <c r="D48" s="299"/>
      <c r="E48" s="299"/>
      <c r="F48" s="299"/>
      <c r="G48" s="299"/>
      <c r="H48" s="299"/>
    </row>
    <row r="49" spans="1:8" x14ac:dyDescent="0.25">
      <c r="A49" s="297"/>
      <c r="B49" s="298"/>
      <c r="C49" s="299"/>
      <c r="D49" s="299"/>
      <c r="E49" s="299"/>
      <c r="F49" s="299"/>
      <c r="G49" s="299"/>
      <c r="H49" s="299"/>
    </row>
    <row r="50" spans="1:8" x14ac:dyDescent="0.25">
      <c r="A50" s="297"/>
      <c r="B50" s="298"/>
      <c r="C50" s="299"/>
      <c r="D50" s="299"/>
      <c r="E50" s="299"/>
      <c r="F50" s="299"/>
      <c r="G50" s="299"/>
      <c r="H50" s="299"/>
    </row>
    <row r="51" spans="1:8" x14ac:dyDescent="0.25">
      <c r="A51" s="297"/>
      <c r="B51" s="298"/>
      <c r="C51" s="299"/>
      <c r="D51" s="299"/>
      <c r="E51" s="299"/>
      <c r="F51" s="299"/>
      <c r="G51" s="299"/>
      <c r="H51" s="299"/>
    </row>
    <row r="52" spans="1:8" x14ac:dyDescent="0.25">
      <c r="A52" s="297"/>
      <c r="B52" s="298"/>
      <c r="C52" s="299"/>
      <c r="D52" s="299"/>
      <c r="E52" s="299"/>
      <c r="F52" s="299"/>
      <c r="G52" s="299"/>
      <c r="H52" s="299"/>
    </row>
    <row r="53" spans="1:8" x14ac:dyDescent="0.25">
      <c r="A53" s="297"/>
      <c r="B53" s="298"/>
      <c r="C53" s="299"/>
      <c r="D53" s="299"/>
      <c r="E53" s="299"/>
      <c r="F53" s="299"/>
      <c r="G53" s="299"/>
      <c r="H53" s="299"/>
    </row>
    <row r="54" spans="1:8" x14ac:dyDescent="0.25">
      <c r="A54" s="297"/>
      <c r="B54" s="298"/>
      <c r="C54" s="299"/>
      <c r="D54" s="299"/>
      <c r="E54" s="299"/>
      <c r="F54" s="299"/>
      <c r="G54" s="299"/>
      <c r="H54" s="299"/>
    </row>
    <row r="55" spans="1:8" x14ac:dyDescent="0.25">
      <c r="A55" s="297"/>
      <c r="B55" s="298"/>
      <c r="C55" s="299"/>
      <c r="D55" s="299"/>
      <c r="E55" s="299"/>
      <c r="F55" s="299"/>
      <c r="G55" s="299"/>
      <c r="H55" s="299"/>
    </row>
    <row r="56" spans="1:8" x14ac:dyDescent="0.25">
      <c r="A56" s="297"/>
      <c r="B56" s="298"/>
      <c r="C56" s="299"/>
      <c r="D56" s="299"/>
      <c r="E56" s="299"/>
      <c r="F56" s="299"/>
      <c r="G56" s="299"/>
      <c r="H56" s="299"/>
    </row>
    <row r="57" spans="1:8" x14ac:dyDescent="0.25">
      <c r="A57" s="297"/>
      <c r="B57" s="298"/>
      <c r="C57" s="299"/>
      <c r="D57" s="299"/>
      <c r="E57" s="299"/>
      <c r="F57" s="299"/>
      <c r="G57" s="299"/>
      <c r="H57" s="299"/>
    </row>
    <row r="58" spans="1:8" x14ac:dyDescent="0.25">
      <c r="A58" s="297"/>
      <c r="B58" s="298"/>
      <c r="C58" s="299"/>
      <c r="D58" s="299"/>
      <c r="E58" s="299"/>
      <c r="F58" s="299"/>
      <c r="G58" s="299"/>
      <c r="H58" s="299"/>
    </row>
    <row r="59" spans="1:8" x14ac:dyDescent="0.25">
      <c r="A59" s="297"/>
      <c r="B59" s="298"/>
      <c r="C59" s="299"/>
      <c r="D59" s="299"/>
      <c r="E59" s="299"/>
      <c r="F59" s="299"/>
      <c r="G59" s="299"/>
      <c r="H59" s="299"/>
    </row>
    <row r="60" spans="1:8" x14ac:dyDescent="0.25">
      <c r="A60" s="297"/>
      <c r="B60" s="298"/>
      <c r="C60" s="299"/>
      <c r="D60" s="299"/>
      <c r="E60" s="299"/>
      <c r="F60" s="299"/>
      <c r="G60" s="299"/>
      <c r="H60" s="299"/>
    </row>
    <row r="61" spans="1:8" x14ac:dyDescent="0.25">
      <c r="A61" s="297"/>
      <c r="B61" s="298"/>
      <c r="C61" s="299"/>
      <c r="D61" s="299"/>
      <c r="E61" s="299"/>
      <c r="F61" s="299"/>
      <c r="G61" s="299"/>
      <c r="H61" s="299"/>
    </row>
    <row r="62" spans="1:8" x14ac:dyDescent="0.25">
      <c r="A62" s="297"/>
      <c r="B62" s="298"/>
      <c r="C62" s="299"/>
      <c r="D62" s="299"/>
      <c r="E62" s="299"/>
      <c r="F62" s="299"/>
      <c r="G62" s="299"/>
      <c r="H62" s="299"/>
    </row>
    <row r="63" spans="1:8" x14ac:dyDescent="0.25">
      <c r="A63" s="297"/>
      <c r="B63" s="298"/>
      <c r="C63" s="299"/>
      <c r="D63" s="299"/>
      <c r="E63" s="299"/>
      <c r="F63" s="299"/>
      <c r="G63" s="299"/>
      <c r="H63" s="299"/>
    </row>
    <row r="64" spans="1:8" x14ac:dyDescent="0.25">
      <c r="A64" s="297"/>
      <c r="B64" s="298"/>
      <c r="C64" s="299"/>
      <c r="D64" s="299"/>
      <c r="E64" s="299"/>
      <c r="F64" s="299"/>
      <c r="G64" s="299"/>
      <c r="H64" s="299"/>
    </row>
    <row r="65" spans="1:8" x14ac:dyDescent="0.25">
      <c r="A65" s="297"/>
      <c r="B65" s="298"/>
      <c r="C65" s="299"/>
      <c r="D65" s="299"/>
      <c r="E65" s="299"/>
      <c r="F65" s="299"/>
      <c r="G65" s="299"/>
      <c r="H65" s="299"/>
    </row>
    <row r="66" spans="1:8" x14ac:dyDescent="0.25">
      <c r="A66" s="297"/>
      <c r="B66" s="298"/>
      <c r="C66" s="299"/>
      <c r="D66" s="299"/>
      <c r="E66" s="299"/>
      <c r="F66" s="299"/>
      <c r="G66" s="299"/>
      <c r="H66" s="299"/>
    </row>
    <row r="67" spans="1:8" x14ac:dyDescent="0.25">
      <c r="A67" s="297"/>
      <c r="B67" s="298"/>
      <c r="C67" s="299"/>
      <c r="D67" s="299"/>
      <c r="E67" s="299"/>
      <c r="F67" s="299"/>
      <c r="G67" s="299"/>
      <c r="H67" s="299"/>
    </row>
    <row r="68" spans="1:8" x14ac:dyDescent="0.25">
      <c r="A68" s="297"/>
      <c r="B68" s="298"/>
      <c r="C68" s="299"/>
      <c r="D68" s="299"/>
      <c r="E68" s="299"/>
      <c r="F68" s="299"/>
      <c r="G68" s="299"/>
      <c r="H68" s="299"/>
    </row>
    <row r="69" spans="1:8" x14ac:dyDescent="0.25">
      <c r="A69" s="297"/>
      <c r="B69" s="298"/>
      <c r="C69" s="299"/>
      <c r="D69" s="299"/>
      <c r="E69" s="299"/>
      <c r="F69" s="299"/>
      <c r="G69" s="299"/>
      <c r="H69" s="299"/>
    </row>
    <row r="70" spans="1:8" x14ac:dyDescent="0.25">
      <c r="A70" s="297"/>
      <c r="B70" s="298"/>
      <c r="C70" s="299"/>
      <c r="D70" s="299"/>
      <c r="E70" s="299"/>
      <c r="F70" s="299"/>
      <c r="G70" s="299"/>
      <c r="H70" s="299"/>
    </row>
    <row r="71" spans="1:8" x14ac:dyDescent="0.25">
      <c r="A71" s="297"/>
      <c r="B71" s="298"/>
      <c r="C71" s="299"/>
      <c r="D71" s="299"/>
      <c r="E71" s="299"/>
      <c r="F71" s="299"/>
      <c r="G71" s="299"/>
      <c r="H71" s="299"/>
    </row>
    <row r="72" spans="1:8" x14ac:dyDescent="0.25">
      <c r="A72" s="297"/>
      <c r="B72" s="298"/>
      <c r="C72" s="299"/>
      <c r="D72" s="299"/>
      <c r="E72" s="299"/>
      <c r="F72" s="299"/>
      <c r="G72" s="299"/>
      <c r="H72" s="299"/>
    </row>
    <row r="73" spans="1:8" x14ac:dyDescent="0.25">
      <c r="A73" s="297"/>
      <c r="B73" s="298"/>
      <c r="C73" s="299"/>
      <c r="D73" s="299"/>
      <c r="E73" s="299"/>
      <c r="F73" s="299"/>
      <c r="G73" s="299"/>
      <c r="H73" s="299"/>
    </row>
    <row r="74" spans="1:8" x14ac:dyDescent="0.25">
      <c r="A74" s="297"/>
      <c r="B74" s="298"/>
      <c r="C74" s="299"/>
      <c r="D74" s="299"/>
      <c r="E74" s="299"/>
      <c r="F74" s="299"/>
      <c r="G74" s="299"/>
      <c r="H74" s="299"/>
    </row>
    <row r="75" spans="1:8" x14ac:dyDescent="0.25">
      <c r="A75" s="297"/>
      <c r="B75" s="298"/>
      <c r="C75" s="299"/>
      <c r="D75" s="299"/>
      <c r="E75" s="299"/>
      <c r="F75" s="299"/>
      <c r="G75" s="299"/>
      <c r="H75" s="299"/>
    </row>
    <row r="76" spans="1:8" x14ac:dyDescent="0.25">
      <c r="A76" s="297"/>
      <c r="B76" s="298"/>
      <c r="C76" s="299"/>
      <c r="D76" s="299"/>
      <c r="E76" s="299"/>
      <c r="F76" s="299"/>
      <c r="G76" s="299"/>
      <c r="H76" s="299"/>
    </row>
    <row r="77" spans="1:8" x14ac:dyDescent="0.25">
      <c r="A77" s="297"/>
      <c r="B77" s="298"/>
      <c r="C77" s="299"/>
      <c r="D77" s="299"/>
      <c r="E77" s="299"/>
      <c r="F77" s="299"/>
      <c r="G77" s="299"/>
      <c r="H77" s="299"/>
    </row>
  </sheetData>
  <autoFilter ref="A4:T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S27:S28"/>
    <mergeCell ref="A29:A33"/>
    <mergeCell ref="B29:B33"/>
    <mergeCell ref="C29:C33"/>
    <mergeCell ref="S29:S33"/>
    <mergeCell ref="A23:B23"/>
    <mergeCell ref="A24:S24"/>
    <mergeCell ref="A25:A26"/>
    <mergeCell ref="B25:B26"/>
    <mergeCell ref="C25:C26"/>
    <mergeCell ref="S25:S26"/>
    <mergeCell ref="A12:A13"/>
    <mergeCell ref="B12:B13"/>
    <mergeCell ref="C12:C13"/>
    <mergeCell ref="S12:S13"/>
    <mergeCell ref="A14:A18"/>
    <mergeCell ref="B14:B15"/>
    <mergeCell ref="C14:C18"/>
    <mergeCell ref="S14:S18"/>
    <mergeCell ref="B16:B17"/>
    <mergeCell ref="A5:S5"/>
    <mergeCell ref="A7:S7"/>
    <mergeCell ref="A8:A10"/>
    <mergeCell ref="B8:B10"/>
    <mergeCell ref="C8:C10"/>
    <mergeCell ref="S9:S10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60" fitToHeight="8" orientation="landscape" r:id="rId1"/>
  <headerFooter differentFirst="1">
    <oddHeader>&amp;C&amp;P</oddHeader>
  </headerFooter>
  <rowBreaks count="2" manualBreakCount="2">
    <brk id="8" max="11" man="1"/>
    <brk id="19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C7" activePane="bottomRight" state="frozen"/>
      <selection activeCell="Q12" sqref="Q12"/>
      <selection pane="topRight" activeCell="Q12" sqref="Q12"/>
      <selection pane="bottomLeft" activeCell="Q12" sqref="Q12"/>
      <selection pane="bottomRight" activeCell="N30" sqref="N30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24.42578125" style="4" customWidth="1"/>
    <col min="5" max="11" width="10.7109375" style="4" customWidth="1"/>
    <col min="12" max="12" width="10.7109375" style="6" customWidth="1"/>
    <col min="13" max="13" width="9.140625" style="469"/>
    <col min="14" max="16384" width="9.140625" style="4"/>
  </cols>
  <sheetData>
    <row r="1" spans="1:14" ht="50.25" customHeight="1" x14ac:dyDescent="0.25">
      <c r="B1" s="2"/>
      <c r="C1" s="3"/>
      <c r="D1" s="2"/>
      <c r="E1" s="5" t="s">
        <v>563</v>
      </c>
      <c r="F1" s="5"/>
      <c r="G1" s="5"/>
      <c r="H1" s="5"/>
      <c r="I1" s="5"/>
      <c r="J1" s="5"/>
      <c r="K1" s="5"/>
    </row>
    <row r="2" spans="1:14" ht="37.5" customHeight="1" x14ac:dyDescent="0.25">
      <c r="A2" s="142" t="s">
        <v>246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4" ht="25.5" customHeight="1" x14ac:dyDescent="0.25">
      <c r="A3" s="8" t="s">
        <v>2</v>
      </c>
      <c r="B3" s="9" t="s">
        <v>247</v>
      </c>
      <c r="C3" s="9" t="s">
        <v>4</v>
      </c>
      <c r="D3" s="9" t="s">
        <v>6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</row>
    <row r="4" spans="1:14" ht="12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25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27" customHeight="1" x14ac:dyDescent="0.25">
      <c r="A6" s="122" t="s">
        <v>564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470"/>
    </row>
    <row r="7" spans="1:14" ht="33" customHeight="1" x14ac:dyDescent="0.25">
      <c r="A7" s="233" t="s">
        <v>565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470"/>
    </row>
    <row r="8" spans="1:14" ht="42" customHeight="1" x14ac:dyDescent="0.25">
      <c r="A8" s="14" t="s">
        <v>566</v>
      </c>
      <c r="B8" s="16" t="s">
        <v>105</v>
      </c>
      <c r="C8" s="14" t="s">
        <v>106</v>
      </c>
      <c r="D8" s="14" t="s">
        <v>107</v>
      </c>
      <c r="E8" s="14">
        <v>1460</v>
      </c>
      <c r="F8" s="471">
        <v>1470</v>
      </c>
      <c r="G8" s="14">
        <v>1470</v>
      </c>
      <c r="H8" s="14">
        <v>2863</v>
      </c>
      <c r="I8" s="14">
        <v>3174</v>
      </c>
      <c r="J8" s="14">
        <v>3205</v>
      </c>
      <c r="K8" s="14">
        <v>3205</v>
      </c>
      <c r="L8" s="14">
        <v>3205</v>
      </c>
      <c r="M8" s="14">
        <v>3205</v>
      </c>
      <c r="N8" s="40">
        <f>M8</f>
        <v>3205</v>
      </c>
    </row>
    <row r="9" spans="1:14" ht="31.5" x14ac:dyDescent="0.25">
      <c r="A9" s="14" t="s">
        <v>108</v>
      </c>
      <c r="B9" s="16" t="s">
        <v>109</v>
      </c>
      <c r="C9" s="14" t="s">
        <v>106</v>
      </c>
      <c r="D9" s="14" t="s">
        <v>107</v>
      </c>
      <c r="E9" s="14">
        <v>28870</v>
      </c>
      <c r="F9" s="471">
        <v>29600</v>
      </c>
      <c r="G9" s="14">
        <v>30690</v>
      </c>
      <c r="H9" s="14">
        <v>32180</v>
      </c>
      <c r="I9" s="14">
        <v>33390</v>
      </c>
      <c r="J9" s="14">
        <v>33390</v>
      </c>
      <c r="K9" s="14">
        <v>33390</v>
      </c>
      <c r="L9" s="14">
        <v>33390</v>
      </c>
      <c r="M9" s="14">
        <v>33390</v>
      </c>
      <c r="N9" s="40">
        <f t="shared" ref="N9:N25" si="0">M9</f>
        <v>33390</v>
      </c>
    </row>
    <row r="10" spans="1:14" ht="63" x14ac:dyDescent="0.25">
      <c r="A10" s="14" t="s">
        <v>110</v>
      </c>
      <c r="B10" s="16" t="s">
        <v>111</v>
      </c>
      <c r="C10" s="14" t="s">
        <v>106</v>
      </c>
      <c r="D10" s="14" t="s">
        <v>107</v>
      </c>
      <c r="E10" s="14">
        <v>17972</v>
      </c>
      <c r="F10" s="471">
        <v>18638</v>
      </c>
      <c r="G10" s="14">
        <v>19328</v>
      </c>
      <c r="H10" s="14">
        <v>21911</v>
      </c>
      <c r="I10" s="14">
        <v>24405</v>
      </c>
      <c r="J10" s="14">
        <v>24405</v>
      </c>
      <c r="K10" s="14">
        <v>24405</v>
      </c>
      <c r="L10" s="14">
        <v>24405</v>
      </c>
      <c r="M10" s="14">
        <v>24405</v>
      </c>
      <c r="N10" s="40">
        <f t="shared" si="0"/>
        <v>24405</v>
      </c>
    </row>
    <row r="11" spans="1:14" ht="31.5" x14ac:dyDescent="0.25">
      <c r="A11" s="14" t="s">
        <v>112</v>
      </c>
      <c r="B11" s="16" t="s">
        <v>113</v>
      </c>
      <c r="C11" s="14" t="s">
        <v>114</v>
      </c>
      <c r="D11" s="14" t="s">
        <v>25</v>
      </c>
      <c r="E11" s="14">
        <v>25.02</v>
      </c>
      <c r="F11" s="54">
        <v>25</v>
      </c>
      <c r="G11" s="14">
        <v>25</v>
      </c>
      <c r="H11" s="14">
        <v>23.9</v>
      </c>
      <c r="I11" s="14">
        <v>24</v>
      </c>
      <c r="J11" s="14">
        <v>24</v>
      </c>
      <c r="K11" s="14">
        <v>24</v>
      </c>
      <c r="L11" s="14">
        <v>24</v>
      </c>
      <c r="M11" s="14">
        <v>24</v>
      </c>
      <c r="N11" s="40">
        <f t="shared" si="0"/>
        <v>24</v>
      </c>
    </row>
    <row r="12" spans="1:14" ht="31.5" x14ac:dyDescent="0.25">
      <c r="A12" s="14" t="s">
        <v>115</v>
      </c>
      <c r="B12" s="16" t="s">
        <v>116</v>
      </c>
      <c r="C12" s="14" t="s">
        <v>114</v>
      </c>
      <c r="D12" s="14" t="s">
        <v>25</v>
      </c>
      <c r="E12" s="14">
        <v>18.82</v>
      </c>
      <c r="F12" s="54">
        <v>18.82</v>
      </c>
      <c r="G12" s="14">
        <v>18.8</v>
      </c>
      <c r="H12" s="14">
        <v>17</v>
      </c>
      <c r="I12" s="14">
        <v>17</v>
      </c>
      <c r="J12" s="14">
        <v>17</v>
      </c>
      <c r="K12" s="14">
        <v>17</v>
      </c>
      <c r="L12" s="14">
        <v>17</v>
      </c>
      <c r="M12" s="14">
        <v>17</v>
      </c>
      <c r="N12" s="40">
        <f t="shared" si="0"/>
        <v>17</v>
      </c>
    </row>
    <row r="13" spans="1:14" ht="78.75" x14ac:dyDescent="0.25">
      <c r="A13" s="14" t="s">
        <v>117</v>
      </c>
      <c r="B13" s="16" t="s">
        <v>118</v>
      </c>
      <c r="C13" s="14" t="s">
        <v>119</v>
      </c>
      <c r="D13" s="14" t="s">
        <v>25</v>
      </c>
      <c r="E13" s="14">
        <v>0.7</v>
      </c>
      <c r="F13" s="54">
        <v>0.7</v>
      </c>
      <c r="G13" s="14">
        <v>0.7</v>
      </c>
      <c r="H13" s="14">
        <v>0.7</v>
      </c>
      <c r="I13" s="14">
        <v>0.7</v>
      </c>
      <c r="J13" s="14">
        <v>0.7</v>
      </c>
      <c r="K13" s="14">
        <v>0.7</v>
      </c>
      <c r="L13" s="14">
        <v>0.7</v>
      </c>
      <c r="M13" s="14">
        <v>0.7</v>
      </c>
      <c r="N13" s="40">
        <f t="shared" si="0"/>
        <v>0.7</v>
      </c>
    </row>
    <row r="14" spans="1:14" ht="31.5" x14ac:dyDescent="0.25">
      <c r="A14" s="14" t="s">
        <v>120</v>
      </c>
      <c r="B14" s="16" t="s">
        <v>121</v>
      </c>
      <c r="C14" s="14" t="s">
        <v>55</v>
      </c>
      <c r="D14" s="14" t="s">
        <v>107</v>
      </c>
      <c r="E14" s="14">
        <v>18</v>
      </c>
      <c r="F14" s="14">
        <v>18</v>
      </c>
      <c r="G14" s="14">
        <v>18</v>
      </c>
      <c r="H14" s="14">
        <v>14</v>
      </c>
      <c r="I14" s="14">
        <v>14</v>
      </c>
      <c r="J14" s="14">
        <v>14</v>
      </c>
      <c r="K14" s="14">
        <v>14</v>
      </c>
      <c r="L14" s="14">
        <v>14</v>
      </c>
      <c r="M14" s="14">
        <v>14</v>
      </c>
      <c r="N14" s="40">
        <f t="shared" si="0"/>
        <v>14</v>
      </c>
    </row>
    <row r="15" spans="1:14" ht="68.25" customHeight="1" x14ac:dyDescent="0.25">
      <c r="A15" s="14" t="s">
        <v>122</v>
      </c>
      <c r="B15" s="16" t="s">
        <v>123</v>
      </c>
      <c r="C15" s="14" t="s">
        <v>124</v>
      </c>
      <c r="D15" s="14" t="s">
        <v>125</v>
      </c>
      <c r="E15" s="14">
        <v>5</v>
      </c>
      <c r="F15" s="14">
        <v>5</v>
      </c>
      <c r="G15" s="14">
        <v>5</v>
      </c>
      <c r="H15" s="14">
        <v>5</v>
      </c>
      <c r="I15" s="14">
        <v>5</v>
      </c>
      <c r="J15" s="14">
        <v>5</v>
      </c>
      <c r="K15" s="14">
        <v>5</v>
      </c>
      <c r="L15" s="14">
        <v>5</v>
      </c>
      <c r="M15" s="14">
        <v>5</v>
      </c>
      <c r="N15" s="40">
        <f t="shared" si="0"/>
        <v>5</v>
      </c>
    </row>
    <row r="16" spans="1:14" ht="72.75" customHeight="1" x14ac:dyDescent="0.25">
      <c r="A16" s="11" t="s">
        <v>126</v>
      </c>
      <c r="B16" s="472" t="s">
        <v>127</v>
      </c>
      <c r="C16" s="14" t="s">
        <v>124</v>
      </c>
      <c r="D16" s="14" t="s">
        <v>125</v>
      </c>
      <c r="E16" s="13">
        <v>5</v>
      </c>
      <c r="F16" s="13">
        <v>5</v>
      </c>
      <c r="G16" s="13">
        <v>5</v>
      </c>
      <c r="H16" s="13">
        <v>5</v>
      </c>
      <c r="I16" s="13">
        <v>5</v>
      </c>
      <c r="J16" s="13">
        <v>5</v>
      </c>
      <c r="K16" s="13">
        <v>5</v>
      </c>
      <c r="L16" s="13">
        <v>5</v>
      </c>
      <c r="M16" s="13">
        <v>5</v>
      </c>
      <c r="N16" s="40">
        <f t="shared" si="0"/>
        <v>5</v>
      </c>
    </row>
    <row r="17" spans="1:14" ht="157.5" x14ac:dyDescent="0.25">
      <c r="A17" s="11" t="s">
        <v>128</v>
      </c>
      <c r="B17" s="56" t="s">
        <v>567</v>
      </c>
      <c r="C17" s="14" t="s">
        <v>124</v>
      </c>
      <c r="D17" s="14" t="s">
        <v>125</v>
      </c>
      <c r="E17" s="13">
        <v>5</v>
      </c>
      <c r="F17" s="13">
        <v>5</v>
      </c>
      <c r="G17" s="13">
        <v>5</v>
      </c>
      <c r="H17" s="13">
        <v>5</v>
      </c>
      <c r="I17" s="13">
        <v>5</v>
      </c>
      <c r="J17" s="13">
        <v>5</v>
      </c>
      <c r="K17" s="13">
        <v>5</v>
      </c>
      <c r="L17" s="13">
        <v>5</v>
      </c>
      <c r="M17" s="13">
        <v>5</v>
      </c>
      <c r="N17" s="40">
        <f t="shared" si="0"/>
        <v>5</v>
      </c>
    </row>
    <row r="18" spans="1:14" ht="94.5" x14ac:dyDescent="0.25">
      <c r="A18" s="11" t="s">
        <v>568</v>
      </c>
      <c r="B18" s="56" t="s">
        <v>131</v>
      </c>
      <c r="C18" s="14" t="s">
        <v>124</v>
      </c>
      <c r="D18" s="14" t="s">
        <v>125</v>
      </c>
      <c r="E18" s="13">
        <v>5</v>
      </c>
      <c r="F18" s="13">
        <v>5</v>
      </c>
      <c r="G18" s="13">
        <v>5</v>
      </c>
      <c r="H18" s="13">
        <v>5</v>
      </c>
      <c r="I18" s="13">
        <v>5</v>
      </c>
      <c r="J18" s="13">
        <v>5</v>
      </c>
      <c r="K18" s="13">
        <v>5</v>
      </c>
      <c r="L18" s="13">
        <v>5</v>
      </c>
      <c r="M18" s="13">
        <v>5</v>
      </c>
      <c r="N18" s="40">
        <f t="shared" si="0"/>
        <v>5</v>
      </c>
    </row>
    <row r="19" spans="1:14" ht="63" x14ac:dyDescent="0.25">
      <c r="A19" s="11" t="s">
        <v>132</v>
      </c>
      <c r="B19" s="56" t="s">
        <v>133</v>
      </c>
      <c r="C19" s="14" t="s">
        <v>124</v>
      </c>
      <c r="D19" s="14" t="s">
        <v>569</v>
      </c>
      <c r="E19" s="13">
        <v>5</v>
      </c>
      <c r="F19" s="13">
        <v>5</v>
      </c>
      <c r="G19" s="13">
        <v>5</v>
      </c>
      <c r="H19" s="13">
        <v>5</v>
      </c>
      <c r="I19" s="13">
        <v>5</v>
      </c>
      <c r="J19" s="13">
        <v>5</v>
      </c>
      <c r="K19" s="13">
        <v>5</v>
      </c>
      <c r="L19" s="13">
        <v>5</v>
      </c>
      <c r="M19" s="13">
        <v>5</v>
      </c>
      <c r="N19" s="40">
        <f t="shared" si="0"/>
        <v>5</v>
      </c>
    </row>
    <row r="20" spans="1:14" ht="63" x14ac:dyDescent="0.25">
      <c r="A20" s="11" t="s">
        <v>134</v>
      </c>
      <c r="B20" s="56" t="s">
        <v>570</v>
      </c>
      <c r="C20" s="14" t="s">
        <v>124</v>
      </c>
      <c r="D20" s="14" t="s">
        <v>569</v>
      </c>
      <c r="E20" s="13">
        <v>5</v>
      </c>
      <c r="F20" s="13">
        <v>5</v>
      </c>
      <c r="G20" s="13">
        <v>5</v>
      </c>
      <c r="H20" s="13">
        <v>5</v>
      </c>
      <c r="I20" s="13">
        <v>5</v>
      </c>
      <c r="J20" s="13">
        <v>5</v>
      </c>
      <c r="K20" s="13">
        <v>5</v>
      </c>
      <c r="L20" s="13">
        <v>5</v>
      </c>
      <c r="M20" s="13">
        <v>5</v>
      </c>
      <c r="N20" s="40">
        <f t="shared" si="0"/>
        <v>5</v>
      </c>
    </row>
    <row r="21" spans="1:14" ht="63" x14ac:dyDescent="0.25">
      <c r="A21" s="11" t="s">
        <v>136</v>
      </c>
      <c r="B21" s="56" t="s">
        <v>137</v>
      </c>
      <c r="C21" s="14" t="s">
        <v>124</v>
      </c>
      <c r="D21" s="14" t="s">
        <v>125</v>
      </c>
      <c r="E21" s="13">
        <v>5</v>
      </c>
      <c r="F21" s="13">
        <v>5</v>
      </c>
      <c r="G21" s="13">
        <v>5</v>
      </c>
      <c r="H21" s="13">
        <v>5</v>
      </c>
      <c r="I21" s="13">
        <v>5</v>
      </c>
      <c r="J21" s="13">
        <v>5</v>
      </c>
      <c r="K21" s="13">
        <v>5</v>
      </c>
      <c r="L21" s="13">
        <v>5</v>
      </c>
      <c r="M21" s="13">
        <v>5</v>
      </c>
      <c r="N21" s="40">
        <f t="shared" si="0"/>
        <v>5</v>
      </c>
    </row>
    <row r="22" spans="1:14" ht="63" x14ac:dyDescent="0.25">
      <c r="A22" s="11" t="s">
        <v>571</v>
      </c>
      <c r="B22" s="472" t="s">
        <v>139</v>
      </c>
      <c r="C22" s="14" t="s">
        <v>124</v>
      </c>
      <c r="D22" s="14" t="s">
        <v>125</v>
      </c>
      <c r="E22" s="13">
        <v>5</v>
      </c>
      <c r="F22" s="13">
        <v>5</v>
      </c>
      <c r="G22" s="13">
        <v>5</v>
      </c>
      <c r="H22" s="13">
        <v>5</v>
      </c>
      <c r="I22" s="13">
        <v>5</v>
      </c>
      <c r="J22" s="13">
        <v>5</v>
      </c>
      <c r="K22" s="13">
        <v>5</v>
      </c>
      <c r="L22" s="13">
        <v>5</v>
      </c>
      <c r="M22" s="13">
        <v>5</v>
      </c>
      <c r="N22" s="40">
        <f t="shared" si="0"/>
        <v>5</v>
      </c>
    </row>
    <row r="23" spans="1:14" ht="63" x14ac:dyDescent="0.25">
      <c r="A23" s="11" t="s">
        <v>140</v>
      </c>
      <c r="B23" s="472" t="s">
        <v>141</v>
      </c>
      <c r="C23" s="14" t="s">
        <v>124</v>
      </c>
      <c r="D23" s="14" t="s">
        <v>125</v>
      </c>
      <c r="E23" s="13">
        <v>5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40">
        <f t="shared" si="0"/>
        <v>5</v>
      </c>
    </row>
    <row r="24" spans="1:14" ht="63" x14ac:dyDescent="0.25">
      <c r="A24" s="11" t="s">
        <v>142</v>
      </c>
      <c r="B24" s="472" t="s">
        <v>143</v>
      </c>
      <c r="C24" s="14" t="s">
        <v>124</v>
      </c>
      <c r="D24" s="14" t="s">
        <v>125</v>
      </c>
      <c r="E24" s="13">
        <v>5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40">
        <f t="shared" si="0"/>
        <v>5</v>
      </c>
    </row>
    <row r="25" spans="1:14" ht="63" x14ac:dyDescent="0.25">
      <c r="A25" s="11" t="s">
        <v>144</v>
      </c>
      <c r="B25" s="472" t="s">
        <v>145</v>
      </c>
      <c r="C25" s="14" t="s">
        <v>124</v>
      </c>
      <c r="D25" s="14" t="s">
        <v>125</v>
      </c>
      <c r="E25" s="13">
        <v>5</v>
      </c>
      <c r="F25" s="13">
        <v>5</v>
      </c>
      <c r="G25" s="13">
        <v>5</v>
      </c>
      <c r="H25" s="13">
        <v>5</v>
      </c>
      <c r="I25" s="13">
        <v>5</v>
      </c>
      <c r="J25" s="13">
        <v>5</v>
      </c>
      <c r="K25" s="13">
        <v>5</v>
      </c>
      <c r="L25" s="13">
        <v>5</v>
      </c>
      <c r="M25" s="13">
        <v>5</v>
      </c>
      <c r="N25" s="40">
        <f t="shared" si="0"/>
        <v>5</v>
      </c>
    </row>
    <row r="26" spans="1:14" ht="32.25" customHeight="1" x14ac:dyDescent="0.25">
      <c r="A26" s="233" t="s">
        <v>572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473"/>
      <c r="M26" s="474"/>
      <c r="N26" s="474"/>
    </row>
    <row r="27" spans="1:14" ht="47.25" x14ac:dyDescent="0.25">
      <c r="A27" s="475" t="s">
        <v>147</v>
      </c>
      <c r="B27" s="16" t="s">
        <v>573</v>
      </c>
      <c r="C27" s="14" t="s">
        <v>20</v>
      </c>
      <c r="D27" s="14" t="s">
        <v>25</v>
      </c>
      <c r="E27" s="14">
        <v>70</v>
      </c>
      <c r="F27" s="14">
        <v>71</v>
      </c>
      <c r="G27" s="14">
        <v>71</v>
      </c>
      <c r="H27" s="14">
        <v>71</v>
      </c>
      <c r="I27" s="14">
        <v>71</v>
      </c>
      <c r="J27" s="14">
        <v>71</v>
      </c>
      <c r="K27" s="14">
        <v>71</v>
      </c>
      <c r="L27" s="14">
        <v>71</v>
      </c>
      <c r="M27" s="14">
        <v>71</v>
      </c>
      <c r="N27" s="13">
        <f>M27</f>
        <v>71</v>
      </c>
    </row>
    <row r="28" spans="1:14" ht="94.5" x14ac:dyDescent="0.25">
      <c r="A28" s="14" t="s">
        <v>149</v>
      </c>
      <c r="B28" s="16" t="s">
        <v>150</v>
      </c>
      <c r="C28" s="14" t="s">
        <v>574</v>
      </c>
      <c r="D28" s="14" t="s">
        <v>25</v>
      </c>
      <c r="E28" s="14" t="s">
        <v>152</v>
      </c>
      <c r="F28" s="14" t="s">
        <v>153</v>
      </c>
      <c r="G28" s="14" t="s">
        <v>154</v>
      </c>
      <c r="H28" s="14" t="s">
        <v>155</v>
      </c>
      <c r="I28" s="14" t="s">
        <v>156</v>
      </c>
      <c r="J28" s="14" t="s">
        <v>157</v>
      </c>
      <c r="K28" s="14" t="s">
        <v>158</v>
      </c>
      <c r="L28" s="14" t="s">
        <v>158</v>
      </c>
      <c r="M28" s="14" t="s">
        <v>158</v>
      </c>
      <c r="N28" s="13" t="str">
        <f>M28</f>
        <v>89(57)</v>
      </c>
    </row>
    <row r="29" spans="1:14" ht="45" customHeight="1" x14ac:dyDescent="0.3">
      <c r="A29" s="4"/>
      <c r="B29" s="317" t="s">
        <v>159</v>
      </c>
      <c r="C29" s="317"/>
      <c r="D29" s="317"/>
      <c r="E29" s="317"/>
      <c r="F29" s="317"/>
      <c r="G29" s="476" t="s">
        <v>256</v>
      </c>
      <c r="H29" s="476"/>
      <c r="I29" s="302"/>
      <c r="J29" s="302"/>
    </row>
    <row r="30" spans="1:14" ht="68.25" customHeight="1" x14ac:dyDescent="0.25">
      <c r="A30" s="4"/>
    </row>
    <row r="31" spans="1:14" ht="129.75" customHeight="1" x14ac:dyDescent="0.25">
      <c r="A31" s="4"/>
    </row>
    <row r="32" spans="1:14" ht="98.25" customHeight="1" x14ac:dyDescent="0.25">
      <c r="A32" s="4"/>
    </row>
    <row r="33" spans="1:1" ht="70.5" customHeight="1" x14ac:dyDescent="0.25">
      <c r="A33" s="4"/>
    </row>
    <row r="34" spans="1:1" ht="66.75" customHeight="1" x14ac:dyDescent="0.25">
      <c r="A34" s="4"/>
    </row>
    <row r="35" spans="1:1" ht="53.25" customHeight="1" x14ac:dyDescent="0.25">
      <c r="A35" s="4"/>
    </row>
    <row r="36" spans="1:1" x14ac:dyDescent="0.25">
      <c r="A36" s="4"/>
    </row>
    <row r="37" spans="1:1" x14ac:dyDescent="0.25">
      <c r="A37" s="4"/>
    </row>
  </sheetData>
  <mergeCells count="20">
    <mergeCell ref="A6:K6"/>
    <mergeCell ref="A7:K7"/>
    <mergeCell ref="A26:K26"/>
    <mergeCell ref="G29:H29"/>
    <mergeCell ref="I3:I5"/>
    <mergeCell ref="J3:J5"/>
    <mergeCell ref="K3:K5"/>
    <mergeCell ref="L3:L5"/>
    <mergeCell ref="M3:M5"/>
    <mergeCell ref="N3:N5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2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V100"/>
  <sheetViews>
    <sheetView view="pageBreakPreview" topLeftCell="A46" zoomScale="75" zoomScaleNormal="75" zoomScaleSheetLayoutView="75" workbookViewId="0">
      <selection activeCell="P68" sqref="P68"/>
    </sheetView>
  </sheetViews>
  <sheetFormatPr defaultColWidth="9.28515625" defaultRowHeight="15.75" x14ac:dyDescent="0.25"/>
  <cols>
    <col min="1" max="1" width="8.42578125" style="301" customWidth="1"/>
    <col min="2" max="2" width="42.28515625" style="4" customWidth="1"/>
    <col min="3" max="3" width="21.5703125" style="302" customWidth="1"/>
    <col min="4" max="4" width="13" style="302" customWidth="1"/>
    <col min="5" max="5" width="13.7109375" style="302" customWidth="1"/>
    <col min="6" max="6" width="17.28515625" style="302" customWidth="1"/>
    <col min="7" max="7" width="13" style="302" customWidth="1"/>
    <col min="8" max="8" width="14.7109375" style="302" customWidth="1"/>
    <col min="9" max="10" width="14.7109375" style="4" customWidth="1"/>
    <col min="11" max="11" width="14.7109375" style="34" customWidth="1"/>
    <col min="12" max="12" width="14.7109375" style="4" customWidth="1"/>
    <col min="13" max="13" width="21.7109375" style="4" customWidth="1"/>
    <col min="14" max="14" width="19.7109375" style="26" customWidth="1"/>
    <col min="15" max="15" width="22.28515625" style="26" customWidth="1"/>
    <col min="16" max="18" width="14.7109375" style="26" customWidth="1"/>
    <col min="19" max="19" width="74.140625" style="4" customWidth="1"/>
    <col min="20" max="21" width="9.28515625" style="4"/>
    <col min="22" max="22" width="12.28515625" style="4" bestFit="1" customWidth="1"/>
    <col min="23" max="16384" width="9.28515625" style="4"/>
  </cols>
  <sheetData>
    <row r="1" spans="1:19" s="92" customFormat="1" ht="71.25" customHeight="1" x14ac:dyDescent="0.25">
      <c r="A1" s="226"/>
      <c r="B1" s="227"/>
      <c r="C1" s="228"/>
      <c r="D1" s="228"/>
      <c r="E1" s="228"/>
      <c r="F1" s="228"/>
      <c r="G1" s="228"/>
      <c r="H1" s="228"/>
      <c r="I1" s="477"/>
      <c r="J1" s="477"/>
      <c r="K1" s="478"/>
      <c r="N1" s="59"/>
      <c r="O1" s="479"/>
      <c r="P1" s="59"/>
      <c r="Q1" s="59"/>
      <c r="R1" s="480" t="s">
        <v>575</v>
      </c>
      <c r="S1" s="480"/>
    </row>
    <row r="2" spans="1:19" s="92" customFormat="1" ht="36" customHeight="1" x14ac:dyDescent="0.25">
      <c r="A2" s="232" t="s">
        <v>258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19" s="92" customFormat="1" ht="32.25" customHeight="1" x14ac:dyDescent="0.25">
      <c r="A3" s="9" t="s">
        <v>2</v>
      </c>
      <c r="B3" s="9" t="s">
        <v>259</v>
      </c>
      <c r="C3" s="9" t="s">
        <v>177</v>
      </c>
      <c r="D3" s="9" t="s">
        <v>175</v>
      </c>
      <c r="E3" s="9"/>
      <c r="F3" s="9"/>
      <c r="G3" s="9"/>
      <c r="H3" s="311" t="s">
        <v>176</v>
      </c>
      <c r="I3" s="312"/>
      <c r="J3" s="312"/>
      <c r="K3" s="312"/>
      <c r="L3" s="312"/>
      <c r="M3" s="312"/>
      <c r="N3" s="312"/>
      <c r="O3" s="312"/>
      <c r="P3" s="312"/>
      <c r="Q3" s="312"/>
      <c r="R3" s="313"/>
      <c r="S3" s="9" t="s">
        <v>576</v>
      </c>
    </row>
    <row r="4" spans="1:19" s="92" customFormat="1" ht="37.5" customHeight="1" x14ac:dyDescent="0.25">
      <c r="A4" s="9"/>
      <c r="B4" s="9"/>
      <c r="C4" s="9"/>
      <c r="D4" s="14" t="s">
        <v>177</v>
      </c>
      <c r="E4" s="14" t="s">
        <v>178</v>
      </c>
      <c r="F4" s="14" t="s">
        <v>179</v>
      </c>
      <c r="G4" s="14" t="s">
        <v>180</v>
      </c>
      <c r="H4" s="14">
        <v>2014</v>
      </c>
      <c r="I4" s="14">
        <v>2015</v>
      </c>
      <c r="J4" s="14">
        <v>2016</v>
      </c>
      <c r="K4" s="14">
        <v>2017</v>
      </c>
      <c r="L4" s="14">
        <v>2018</v>
      </c>
      <c r="M4" s="14">
        <v>2019</v>
      </c>
      <c r="N4" s="21">
        <v>2020</v>
      </c>
      <c r="O4" s="21">
        <v>2021</v>
      </c>
      <c r="P4" s="21">
        <v>2022</v>
      </c>
      <c r="Q4" s="21">
        <v>2023</v>
      </c>
      <c r="R4" s="21" t="s">
        <v>181</v>
      </c>
      <c r="S4" s="9"/>
    </row>
    <row r="5" spans="1:19" ht="27" customHeight="1" x14ac:dyDescent="0.25">
      <c r="A5" s="122" t="s">
        <v>564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</row>
    <row r="6" spans="1:19" ht="27" customHeight="1" x14ac:dyDescent="0.25">
      <c r="A6" s="481" t="s">
        <v>577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3"/>
    </row>
    <row r="7" spans="1:19" ht="45" customHeight="1" x14ac:dyDescent="0.25">
      <c r="A7" s="199" t="s">
        <v>104</v>
      </c>
      <c r="B7" s="74" t="s">
        <v>578</v>
      </c>
      <c r="C7" s="74" t="s">
        <v>262</v>
      </c>
      <c r="D7" s="36" t="s">
        <v>188</v>
      </c>
      <c r="E7" s="36" t="s">
        <v>449</v>
      </c>
      <c r="F7" s="36" t="s">
        <v>579</v>
      </c>
      <c r="G7" s="13">
        <v>120</v>
      </c>
      <c r="H7" s="484">
        <v>1257.5999999999999</v>
      </c>
      <c r="I7" s="484">
        <v>1420.8</v>
      </c>
      <c r="J7" s="484">
        <v>1452.9</v>
      </c>
      <c r="K7" s="484">
        <v>1366.4</v>
      </c>
      <c r="L7" s="484">
        <v>1552.5</v>
      </c>
      <c r="M7" s="484">
        <v>1792.7</v>
      </c>
      <c r="N7" s="485">
        <v>1967.9</v>
      </c>
      <c r="O7" s="485">
        <v>2314.6</v>
      </c>
      <c r="P7" s="485">
        <v>2314.6</v>
      </c>
      <c r="Q7" s="485">
        <f>P7</f>
        <v>2314.6</v>
      </c>
      <c r="R7" s="485">
        <f>SUM(H7:Q7)</f>
        <v>17754.599999999999</v>
      </c>
      <c r="S7" s="126" t="s">
        <v>580</v>
      </c>
    </row>
    <row r="8" spans="1:19" ht="45" customHeight="1" x14ac:dyDescent="0.25">
      <c r="A8" s="200"/>
      <c r="B8" s="127"/>
      <c r="C8" s="127"/>
      <c r="D8" s="13">
        <v>975</v>
      </c>
      <c r="E8" s="36" t="s">
        <v>449</v>
      </c>
      <c r="F8" s="36" t="s">
        <v>579</v>
      </c>
      <c r="G8" s="13" t="s">
        <v>581</v>
      </c>
      <c r="H8" s="484">
        <v>318.60000000000002</v>
      </c>
      <c r="I8" s="484">
        <v>600.70000000000005</v>
      </c>
      <c r="J8" s="484">
        <v>513.5</v>
      </c>
      <c r="K8" s="484">
        <f>411.1+0.5</f>
        <v>411.6</v>
      </c>
      <c r="L8" s="484">
        <v>298.89999999999998</v>
      </c>
      <c r="M8" s="484">
        <v>317.5</v>
      </c>
      <c r="N8" s="485">
        <f>299.8+0.9+36.1</f>
        <v>336.8</v>
      </c>
      <c r="O8" s="486">
        <f>311.9+0.9</f>
        <v>312.79999999999995</v>
      </c>
      <c r="P8" s="485">
        <v>302.8</v>
      </c>
      <c r="Q8" s="485">
        <f t="shared" ref="Q8:Q51" si="0">P8</f>
        <v>302.8</v>
      </c>
      <c r="R8" s="485">
        <f t="shared" ref="R8:R51" si="1">SUM(H8:Q8)</f>
        <v>3716.0000000000009</v>
      </c>
      <c r="S8" s="128"/>
    </row>
    <row r="9" spans="1:19" ht="24.95" customHeight="1" x14ac:dyDescent="0.25">
      <c r="A9" s="200"/>
      <c r="B9" s="127"/>
      <c r="C9" s="127"/>
      <c r="D9" s="424" t="s">
        <v>188</v>
      </c>
      <c r="E9" s="36" t="s">
        <v>449</v>
      </c>
      <c r="F9" s="36" t="s">
        <v>582</v>
      </c>
      <c r="G9" s="13">
        <v>120</v>
      </c>
      <c r="H9" s="484">
        <v>330.4</v>
      </c>
      <c r="I9" s="484">
        <v>342.6</v>
      </c>
      <c r="J9" s="484">
        <v>342.6</v>
      </c>
      <c r="K9" s="484">
        <v>335.6</v>
      </c>
      <c r="L9" s="484">
        <v>343.5</v>
      </c>
      <c r="M9" s="484">
        <v>360.3</v>
      </c>
      <c r="N9" s="485">
        <v>373.6</v>
      </c>
      <c r="O9" s="485">
        <v>431.7</v>
      </c>
      <c r="P9" s="485">
        <v>431.7</v>
      </c>
      <c r="Q9" s="485">
        <f t="shared" si="0"/>
        <v>431.7</v>
      </c>
      <c r="R9" s="485">
        <f t="shared" si="1"/>
        <v>3723.6999999999994</v>
      </c>
      <c r="S9" s="487"/>
    </row>
    <row r="10" spans="1:19" ht="24.95" customHeight="1" x14ac:dyDescent="0.25">
      <c r="A10" s="200"/>
      <c r="B10" s="127"/>
      <c r="C10" s="127"/>
      <c r="D10" s="424" t="s">
        <v>188</v>
      </c>
      <c r="E10" s="36" t="s">
        <v>449</v>
      </c>
      <c r="F10" s="36" t="s">
        <v>583</v>
      </c>
      <c r="G10" s="13">
        <v>120</v>
      </c>
      <c r="H10" s="484"/>
      <c r="I10" s="484"/>
      <c r="J10" s="484"/>
      <c r="K10" s="484"/>
      <c r="L10" s="484"/>
      <c r="M10" s="484"/>
      <c r="N10" s="485">
        <v>16.3</v>
      </c>
      <c r="O10" s="485"/>
      <c r="P10" s="485"/>
      <c r="Q10" s="485"/>
      <c r="R10" s="485">
        <f t="shared" si="1"/>
        <v>16.3</v>
      </c>
      <c r="S10" s="487"/>
    </row>
    <row r="11" spans="1:19" ht="24.95" customHeight="1" x14ac:dyDescent="0.25">
      <c r="A11" s="200"/>
      <c r="B11" s="127"/>
      <c r="C11" s="127"/>
      <c r="D11" s="424" t="s">
        <v>188</v>
      </c>
      <c r="E11" s="36" t="s">
        <v>449</v>
      </c>
      <c r="F11" s="36" t="s">
        <v>584</v>
      </c>
      <c r="G11" s="13">
        <v>120</v>
      </c>
      <c r="H11" s="484"/>
      <c r="I11" s="484"/>
      <c r="J11" s="484"/>
      <c r="K11" s="484"/>
      <c r="L11" s="484"/>
      <c r="M11" s="484"/>
      <c r="N11" s="485">
        <v>21.7</v>
      </c>
      <c r="O11" s="485"/>
      <c r="P11" s="485"/>
      <c r="Q11" s="485">
        <f t="shared" si="0"/>
        <v>0</v>
      </c>
      <c r="R11" s="485">
        <f t="shared" si="1"/>
        <v>21.7</v>
      </c>
      <c r="S11" s="487"/>
    </row>
    <row r="12" spans="1:19" ht="24.95" customHeight="1" x14ac:dyDescent="0.25">
      <c r="A12" s="200"/>
      <c r="B12" s="127"/>
      <c r="C12" s="127"/>
      <c r="D12" s="424" t="s">
        <v>188</v>
      </c>
      <c r="E12" s="36" t="s">
        <v>449</v>
      </c>
      <c r="F12" s="36" t="s">
        <v>585</v>
      </c>
      <c r="G12" s="13">
        <v>120</v>
      </c>
      <c r="H12" s="484"/>
      <c r="I12" s="484"/>
      <c r="J12" s="484"/>
      <c r="K12" s="484"/>
      <c r="L12" s="484"/>
      <c r="M12" s="484"/>
      <c r="N12" s="485">
        <v>3.1</v>
      </c>
      <c r="O12" s="485"/>
      <c r="P12" s="485"/>
      <c r="Q12" s="485"/>
      <c r="R12" s="485">
        <f t="shared" si="1"/>
        <v>3.1</v>
      </c>
      <c r="S12" s="487"/>
    </row>
    <row r="13" spans="1:19" ht="24.95" customHeight="1" x14ac:dyDescent="0.25">
      <c r="A13" s="200"/>
      <c r="B13" s="127"/>
      <c r="C13" s="127"/>
      <c r="D13" s="424" t="s">
        <v>188</v>
      </c>
      <c r="E13" s="36" t="s">
        <v>449</v>
      </c>
      <c r="F13" s="36" t="s">
        <v>586</v>
      </c>
      <c r="G13" s="13">
        <v>120</v>
      </c>
      <c r="H13" s="484"/>
      <c r="I13" s="484"/>
      <c r="J13" s="484"/>
      <c r="K13" s="484"/>
      <c r="L13" s="484"/>
      <c r="M13" s="484"/>
      <c r="N13" s="485">
        <v>228.4</v>
      </c>
      <c r="O13" s="485"/>
      <c r="P13" s="485"/>
      <c r="Q13" s="485">
        <f t="shared" si="0"/>
        <v>0</v>
      </c>
      <c r="R13" s="485">
        <f t="shared" si="1"/>
        <v>228.4</v>
      </c>
      <c r="S13" s="487"/>
    </row>
    <row r="14" spans="1:19" ht="24.95" customHeight="1" x14ac:dyDescent="0.25">
      <c r="A14" s="200"/>
      <c r="B14" s="127"/>
      <c r="C14" s="127"/>
      <c r="D14" s="424" t="s">
        <v>188</v>
      </c>
      <c r="E14" s="36" t="s">
        <v>449</v>
      </c>
      <c r="F14" s="36" t="s">
        <v>587</v>
      </c>
      <c r="G14" s="13">
        <v>120</v>
      </c>
      <c r="H14" s="484"/>
      <c r="I14" s="484"/>
      <c r="J14" s="484"/>
      <c r="K14" s="484"/>
      <c r="L14" s="484"/>
      <c r="M14" s="484">
        <v>36.4</v>
      </c>
      <c r="N14" s="485"/>
      <c r="O14" s="485"/>
      <c r="P14" s="485">
        <f t="shared" ref="P14:P19" si="2">O14</f>
        <v>0</v>
      </c>
      <c r="Q14" s="485">
        <f t="shared" si="0"/>
        <v>0</v>
      </c>
      <c r="R14" s="485">
        <f t="shared" si="1"/>
        <v>36.4</v>
      </c>
      <c r="S14" s="487"/>
    </row>
    <row r="15" spans="1:19" ht="24.95" customHeight="1" x14ac:dyDescent="0.25">
      <c r="A15" s="200"/>
      <c r="B15" s="127"/>
      <c r="C15" s="127"/>
      <c r="D15" s="424" t="s">
        <v>188</v>
      </c>
      <c r="E15" s="36" t="s">
        <v>449</v>
      </c>
      <c r="F15" s="36" t="s">
        <v>588</v>
      </c>
      <c r="G15" s="13">
        <v>120</v>
      </c>
      <c r="H15" s="484"/>
      <c r="I15" s="484"/>
      <c r="J15" s="484"/>
      <c r="K15" s="484"/>
      <c r="L15" s="484">
        <v>96.2</v>
      </c>
      <c r="M15" s="484"/>
      <c r="N15" s="485"/>
      <c r="O15" s="485"/>
      <c r="P15" s="485">
        <f t="shared" si="2"/>
        <v>0</v>
      </c>
      <c r="Q15" s="485">
        <f t="shared" si="0"/>
        <v>0</v>
      </c>
      <c r="R15" s="485">
        <f t="shared" si="1"/>
        <v>96.2</v>
      </c>
      <c r="S15" s="487"/>
    </row>
    <row r="16" spans="1:19" ht="41.45" customHeight="1" x14ac:dyDescent="0.25">
      <c r="A16" s="200"/>
      <c r="B16" s="127"/>
      <c r="C16" s="127"/>
      <c r="D16" s="13">
        <v>975</v>
      </c>
      <c r="E16" s="36" t="s">
        <v>449</v>
      </c>
      <c r="F16" s="36" t="s">
        <v>589</v>
      </c>
      <c r="G16" s="13">
        <v>120</v>
      </c>
      <c r="H16" s="484"/>
      <c r="I16" s="484"/>
      <c r="J16" s="484"/>
      <c r="K16" s="484"/>
      <c r="L16" s="484">
        <v>12.8</v>
      </c>
      <c r="M16" s="484">
        <v>3.8</v>
      </c>
      <c r="N16" s="485"/>
      <c r="O16" s="485"/>
      <c r="P16" s="485">
        <f t="shared" si="2"/>
        <v>0</v>
      </c>
      <c r="Q16" s="485">
        <f t="shared" si="0"/>
        <v>0</v>
      </c>
      <c r="R16" s="485">
        <f t="shared" si="1"/>
        <v>16.600000000000001</v>
      </c>
      <c r="S16" s="487"/>
    </row>
    <row r="17" spans="1:22" ht="46.9" customHeight="1" x14ac:dyDescent="0.25">
      <c r="A17" s="203"/>
      <c r="B17" s="79"/>
      <c r="C17" s="79"/>
      <c r="D17" s="13">
        <v>975</v>
      </c>
      <c r="E17" s="36" t="s">
        <v>449</v>
      </c>
      <c r="F17" s="36" t="s">
        <v>590</v>
      </c>
      <c r="G17" s="13">
        <v>120</v>
      </c>
      <c r="H17" s="484"/>
      <c r="I17" s="484"/>
      <c r="J17" s="484"/>
      <c r="K17" s="484"/>
      <c r="L17" s="484">
        <v>55.9</v>
      </c>
      <c r="M17" s="484">
        <v>18.100000000000001</v>
      </c>
      <c r="N17" s="485"/>
      <c r="O17" s="485"/>
      <c r="P17" s="485">
        <f t="shared" si="2"/>
        <v>0</v>
      </c>
      <c r="Q17" s="485">
        <f t="shared" si="0"/>
        <v>0</v>
      </c>
      <c r="R17" s="485">
        <f t="shared" si="1"/>
        <v>74</v>
      </c>
      <c r="S17" s="487"/>
    </row>
    <row r="18" spans="1:22" ht="45" customHeight="1" x14ac:dyDescent="0.25">
      <c r="A18" s="419" t="s">
        <v>591</v>
      </c>
      <c r="B18" s="423" t="s">
        <v>592</v>
      </c>
      <c r="C18" s="16" t="s">
        <v>593</v>
      </c>
      <c r="D18" s="36" t="s">
        <v>188</v>
      </c>
      <c r="E18" s="36" t="s">
        <v>449</v>
      </c>
      <c r="F18" s="36" t="s">
        <v>594</v>
      </c>
      <c r="G18" s="13">
        <v>110</v>
      </c>
      <c r="H18" s="484">
        <v>623.6</v>
      </c>
      <c r="I18" s="484">
        <v>623.6</v>
      </c>
      <c r="J18" s="484">
        <v>623.6</v>
      </c>
      <c r="K18" s="484">
        <v>610</v>
      </c>
      <c r="L18" s="484">
        <f>623.6</f>
        <v>623.6</v>
      </c>
      <c r="M18" s="484">
        <v>623.6</v>
      </c>
      <c r="N18" s="485">
        <v>623.6</v>
      </c>
      <c r="O18" s="485">
        <v>623.6</v>
      </c>
      <c r="P18" s="485">
        <f t="shared" si="2"/>
        <v>623.6</v>
      </c>
      <c r="Q18" s="485">
        <f t="shared" si="0"/>
        <v>623.6</v>
      </c>
      <c r="R18" s="485">
        <f t="shared" si="1"/>
        <v>6222.4000000000015</v>
      </c>
      <c r="S18" s="272" t="s">
        <v>595</v>
      </c>
    </row>
    <row r="19" spans="1:22" ht="24.95" customHeight="1" x14ac:dyDescent="0.25">
      <c r="A19" s="274" t="s">
        <v>596</v>
      </c>
      <c r="B19" s="9" t="s">
        <v>597</v>
      </c>
      <c r="C19" s="9" t="s">
        <v>598</v>
      </c>
      <c r="D19" s="36" t="s">
        <v>191</v>
      </c>
      <c r="E19" s="36" t="s">
        <v>449</v>
      </c>
      <c r="F19" s="36" t="s">
        <v>599</v>
      </c>
      <c r="G19" s="13">
        <v>110</v>
      </c>
      <c r="H19" s="488"/>
      <c r="I19" s="488"/>
      <c r="J19" s="488"/>
      <c r="K19" s="488"/>
      <c r="L19" s="488">
        <v>564.29999999999995</v>
      </c>
      <c r="M19" s="488"/>
      <c r="N19" s="489"/>
      <c r="O19" s="489"/>
      <c r="P19" s="485">
        <f t="shared" si="2"/>
        <v>0</v>
      </c>
      <c r="Q19" s="485">
        <f t="shared" si="0"/>
        <v>0</v>
      </c>
      <c r="R19" s="485">
        <f t="shared" si="1"/>
        <v>564.29999999999995</v>
      </c>
      <c r="S19" s="122" t="s">
        <v>600</v>
      </c>
    </row>
    <row r="20" spans="1:22" ht="24.95" customHeight="1" x14ac:dyDescent="0.25">
      <c r="A20" s="274"/>
      <c r="B20" s="9"/>
      <c r="C20" s="9"/>
      <c r="D20" s="36" t="s">
        <v>191</v>
      </c>
      <c r="E20" s="36" t="s">
        <v>449</v>
      </c>
      <c r="F20" s="36" t="s">
        <v>594</v>
      </c>
      <c r="G20" s="13">
        <v>110</v>
      </c>
      <c r="H20" s="488">
        <v>13131.6</v>
      </c>
      <c r="I20" s="488">
        <v>13815.5</v>
      </c>
      <c r="J20" s="488">
        <v>14161.8</v>
      </c>
      <c r="K20" s="488">
        <v>14410.6</v>
      </c>
      <c r="L20" s="488">
        <f>11061.4+19+3328.3</f>
        <v>14408.7</v>
      </c>
      <c r="M20" s="488">
        <v>15224.3</v>
      </c>
      <c r="N20" s="489">
        <v>15816.8</v>
      </c>
      <c r="O20" s="490">
        <v>18390.599999999999</v>
      </c>
      <c r="P20" s="485">
        <v>18062</v>
      </c>
      <c r="Q20" s="485">
        <f t="shared" si="0"/>
        <v>18062</v>
      </c>
      <c r="R20" s="485">
        <f t="shared" si="1"/>
        <v>155483.9</v>
      </c>
      <c r="S20" s="122"/>
    </row>
    <row r="21" spans="1:22" ht="24.95" customHeight="1" x14ac:dyDescent="0.25">
      <c r="A21" s="274"/>
      <c r="B21" s="9"/>
      <c r="C21" s="9"/>
      <c r="D21" s="36" t="s">
        <v>191</v>
      </c>
      <c r="E21" s="36" t="s">
        <v>449</v>
      </c>
      <c r="F21" s="36" t="s">
        <v>601</v>
      </c>
      <c r="G21" s="13">
        <v>110</v>
      </c>
      <c r="H21" s="488"/>
      <c r="I21" s="488">
        <v>9.6999999999999993</v>
      </c>
      <c r="J21" s="488">
        <v>10.9</v>
      </c>
      <c r="K21" s="488">
        <v>12.4</v>
      </c>
      <c r="L21" s="488">
        <v>52.5</v>
      </c>
      <c r="M21" s="488">
        <v>130.5</v>
      </c>
      <c r="N21" s="489">
        <v>159.9</v>
      </c>
      <c r="O21" s="489"/>
      <c r="P21" s="489"/>
      <c r="Q21" s="485">
        <f t="shared" si="0"/>
        <v>0</v>
      </c>
      <c r="R21" s="485">
        <f t="shared" si="1"/>
        <v>375.9</v>
      </c>
      <c r="S21" s="122"/>
    </row>
    <row r="22" spans="1:22" ht="39.6" customHeight="1" x14ac:dyDescent="0.25">
      <c r="A22" s="274"/>
      <c r="B22" s="9"/>
      <c r="C22" s="9"/>
      <c r="D22" s="36" t="s">
        <v>191</v>
      </c>
      <c r="E22" s="36" t="s">
        <v>449</v>
      </c>
      <c r="F22" s="36" t="s">
        <v>602</v>
      </c>
      <c r="G22" s="13">
        <v>110</v>
      </c>
      <c r="H22" s="488"/>
      <c r="I22" s="488"/>
      <c r="J22" s="488"/>
      <c r="K22" s="488"/>
      <c r="L22" s="488"/>
      <c r="M22" s="488">
        <v>8.9</v>
      </c>
      <c r="N22" s="489">
        <v>97.3</v>
      </c>
      <c r="O22" s="489">
        <v>0</v>
      </c>
      <c r="P22" s="485">
        <v>0</v>
      </c>
      <c r="Q22" s="485">
        <f t="shared" si="0"/>
        <v>0</v>
      </c>
      <c r="R22" s="485">
        <f t="shared" si="1"/>
        <v>106.2</v>
      </c>
      <c r="S22" s="122"/>
    </row>
    <row r="23" spans="1:22" ht="39.6" customHeight="1" x14ac:dyDescent="0.25">
      <c r="A23" s="274"/>
      <c r="B23" s="9"/>
      <c r="C23" s="9"/>
      <c r="D23" s="36" t="s">
        <v>191</v>
      </c>
      <c r="E23" s="36" t="s">
        <v>449</v>
      </c>
      <c r="F23" s="36" t="s">
        <v>583</v>
      </c>
      <c r="G23" s="13">
        <v>110</v>
      </c>
      <c r="H23" s="488"/>
      <c r="I23" s="488"/>
      <c r="J23" s="488"/>
      <c r="K23" s="488"/>
      <c r="L23" s="488"/>
      <c r="M23" s="488"/>
      <c r="N23" s="489">
        <v>130.19999999999999</v>
      </c>
      <c r="O23" s="489"/>
      <c r="P23" s="485"/>
      <c r="Q23" s="485"/>
      <c r="R23" s="485">
        <f t="shared" si="1"/>
        <v>130.19999999999999</v>
      </c>
      <c r="S23" s="122"/>
    </row>
    <row r="24" spans="1:22" ht="39.6" customHeight="1" x14ac:dyDescent="0.25">
      <c r="A24" s="274"/>
      <c r="B24" s="9"/>
      <c r="C24" s="9"/>
      <c r="D24" s="36" t="s">
        <v>191</v>
      </c>
      <c r="E24" s="36" t="s">
        <v>449</v>
      </c>
      <c r="F24" s="36" t="s">
        <v>603</v>
      </c>
      <c r="G24" s="13">
        <v>110</v>
      </c>
      <c r="H24" s="488"/>
      <c r="I24" s="488"/>
      <c r="J24" s="488"/>
      <c r="K24" s="488"/>
      <c r="L24" s="488"/>
      <c r="M24" s="488"/>
      <c r="N24" s="489">
        <v>874.3</v>
      </c>
      <c r="O24" s="489"/>
      <c r="P24" s="485"/>
      <c r="Q24" s="485">
        <f t="shared" si="0"/>
        <v>0</v>
      </c>
      <c r="R24" s="485">
        <f t="shared" si="1"/>
        <v>874.3</v>
      </c>
      <c r="S24" s="122"/>
    </row>
    <row r="25" spans="1:22" ht="24.95" customHeight="1" x14ac:dyDescent="0.25">
      <c r="A25" s="274"/>
      <c r="B25" s="9"/>
      <c r="C25" s="9"/>
      <c r="D25" s="36" t="s">
        <v>191</v>
      </c>
      <c r="E25" s="36" t="s">
        <v>449</v>
      </c>
      <c r="F25" s="36" t="s">
        <v>604</v>
      </c>
      <c r="G25" s="13">
        <v>110</v>
      </c>
      <c r="H25" s="488"/>
      <c r="I25" s="488"/>
      <c r="J25" s="488"/>
      <c r="K25" s="488"/>
      <c r="L25" s="488"/>
      <c r="M25" s="488">
        <v>137.6</v>
      </c>
      <c r="N25" s="489"/>
      <c r="O25" s="489"/>
      <c r="P25" s="485"/>
      <c r="Q25" s="485">
        <f t="shared" si="0"/>
        <v>0</v>
      </c>
      <c r="R25" s="485">
        <f t="shared" si="1"/>
        <v>137.6</v>
      </c>
      <c r="S25" s="122"/>
    </row>
    <row r="26" spans="1:22" ht="24.95" customHeight="1" x14ac:dyDescent="0.25">
      <c r="A26" s="274"/>
      <c r="B26" s="9"/>
      <c r="C26" s="9"/>
      <c r="D26" s="36" t="s">
        <v>191</v>
      </c>
      <c r="E26" s="36" t="s">
        <v>449</v>
      </c>
      <c r="F26" s="36" t="s">
        <v>594</v>
      </c>
      <c r="G26" s="13">
        <v>850</v>
      </c>
      <c r="H26" s="488">
        <v>0</v>
      </c>
      <c r="I26" s="488">
        <v>0</v>
      </c>
      <c r="J26" s="488">
        <v>0</v>
      </c>
      <c r="K26" s="488">
        <v>21.8</v>
      </c>
      <c r="L26" s="488">
        <v>0.01</v>
      </c>
      <c r="M26" s="488"/>
      <c r="N26" s="489"/>
      <c r="O26" s="489">
        <v>0.9</v>
      </c>
      <c r="P26" s="485"/>
      <c r="Q26" s="485"/>
      <c r="R26" s="485">
        <f t="shared" si="1"/>
        <v>22.71</v>
      </c>
      <c r="S26" s="122"/>
    </row>
    <row r="27" spans="1:22" ht="24.95" customHeight="1" x14ac:dyDescent="0.25">
      <c r="A27" s="274"/>
      <c r="B27" s="9"/>
      <c r="C27" s="9"/>
      <c r="D27" s="36" t="s">
        <v>191</v>
      </c>
      <c r="E27" s="36" t="s">
        <v>449</v>
      </c>
      <c r="F27" s="36" t="s">
        <v>594</v>
      </c>
      <c r="G27" s="13">
        <v>240</v>
      </c>
      <c r="H27" s="488">
        <v>1021.5</v>
      </c>
      <c r="I27" s="488">
        <v>1111.2</v>
      </c>
      <c r="J27" s="488">
        <v>1144</v>
      </c>
      <c r="K27" s="488">
        <v>927.7</v>
      </c>
      <c r="L27" s="488">
        <v>969.6</v>
      </c>
      <c r="M27" s="488">
        <v>1242.5</v>
      </c>
      <c r="N27" s="489">
        <v>1442.2</v>
      </c>
      <c r="O27" s="489">
        <v>2685.5</v>
      </c>
      <c r="P27" s="489">
        <v>1887.9</v>
      </c>
      <c r="Q27" s="485">
        <f t="shared" si="0"/>
        <v>1887.9</v>
      </c>
      <c r="R27" s="485">
        <f t="shared" si="1"/>
        <v>14320</v>
      </c>
      <c r="S27" s="122"/>
    </row>
    <row r="28" spans="1:22" ht="24.95" customHeight="1" x14ac:dyDescent="0.25">
      <c r="A28" s="274" t="s">
        <v>605</v>
      </c>
      <c r="B28" s="122" t="s">
        <v>606</v>
      </c>
      <c r="C28" s="122" t="s">
        <v>607</v>
      </c>
      <c r="D28" s="36" t="s">
        <v>188</v>
      </c>
      <c r="E28" s="36" t="s">
        <v>449</v>
      </c>
      <c r="F28" s="36" t="s">
        <v>594</v>
      </c>
      <c r="G28" s="13">
        <v>110</v>
      </c>
      <c r="H28" s="488">
        <f>2965-H18</f>
        <v>2341.4</v>
      </c>
      <c r="I28" s="488">
        <f>3154-I18</f>
        <v>2530.4</v>
      </c>
      <c r="J28" s="488">
        <f>3155.8-J18</f>
        <v>2532.2000000000003</v>
      </c>
      <c r="K28" s="488">
        <f>4414.9-K18</f>
        <v>3804.8999999999996</v>
      </c>
      <c r="L28" s="488">
        <f>4501.5-L18</f>
        <v>3877.9</v>
      </c>
      <c r="M28" s="488">
        <f>4633.1-M18</f>
        <v>4009.5000000000005</v>
      </c>
      <c r="N28" s="489">
        <f>5167.1-N18</f>
        <v>4543.5</v>
      </c>
      <c r="O28" s="489">
        <f>5972.2-O18+16.5</f>
        <v>5365.0999999999995</v>
      </c>
      <c r="P28" s="489">
        <f>5972.2-P18</f>
        <v>5348.5999999999995</v>
      </c>
      <c r="Q28" s="485">
        <f t="shared" si="0"/>
        <v>5348.5999999999995</v>
      </c>
      <c r="R28" s="485">
        <f t="shared" si="1"/>
        <v>39702.1</v>
      </c>
      <c r="S28" s="122" t="s">
        <v>608</v>
      </c>
    </row>
    <row r="29" spans="1:22" ht="24.95" customHeight="1" x14ac:dyDescent="0.25">
      <c r="A29" s="274"/>
      <c r="B29" s="122"/>
      <c r="C29" s="122"/>
      <c r="D29" s="36" t="s">
        <v>188</v>
      </c>
      <c r="E29" s="36" t="s">
        <v>449</v>
      </c>
      <c r="F29" s="36" t="s">
        <v>594</v>
      </c>
      <c r="G29" s="13">
        <v>240</v>
      </c>
      <c r="H29" s="488">
        <v>452.8</v>
      </c>
      <c r="I29" s="488">
        <v>540.79999999999995</v>
      </c>
      <c r="J29" s="488">
        <v>696.6</v>
      </c>
      <c r="K29" s="488">
        <v>1035.5</v>
      </c>
      <c r="L29" s="488">
        <v>708.9</v>
      </c>
      <c r="M29" s="488">
        <f>374+50</f>
        <v>424</v>
      </c>
      <c r="N29" s="489">
        <v>333.1</v>
      </c>
      <c r="O29" s="489">
        <v>455.5</v>
      </c>
      <c r="P29" s="489">
        <v>445.5</v>
      </c>
      <c r="Q29" s="485">
        <f t="shared" si="0"/>
        <v>445.5</v>
      </c>
      <c r="R29" s="485">
        <f t="shared" si="1"/>
        <v>5538.2</v>
      </c>
      <c r="S29" s="122"/>
    </row>
    <row r="30" spans="1:22" ht="24.95" customHeight="1" x14ac:dyDescent="0.25">
      <c r="A30" s="274"/>
      <c r="B30" s="122"/>
      <c r="C30" s="122"/>
      <c r="D30" s="36" t="s">
        <v>188</v>
      </c>
      <c r="E30" s="36" t="s">
        <v>449</v>
      </c>
      <c r="F30" s="36" t="s">
        <v>601</v>
      </c>
      <c r="G30" s="13">
        <v>110</v>
      </c>
      <c r="H30" s="488">
        <v>17.100000000000001</v>
      </c>
      <c r="I30" s="488">
        <v>29.8</v>
      </c>
      <c r="J30" s="488">
        <v>46.6</v>
      </c>
      <c r="K30" s="488">
        <v>58.6</v>
      </c>
      <c r="L30" s="488">
        <v>84.9</v>
      </c>
      <c r="M30" s="488">
        <v>136</v>
      </c>
      <c r="N30" s="489">
        <v>115.1</v>
      </c>
      <c r="O30" s="489"/>
      <c r="P30" s="489"/>
      <c r="Q30" s="485"/>
      <c r="R30" s="485">
        <f t="shared" si="1"/>
        <v>488.1</v>
      </c>
      <c r="S30" s="122"/>
    </row>
    <row r="31" spans="1:22" ht="24.95" customHeight="1" x14ac:dyDescent="0.25">
      <c r="A31" s="274"/>
      <c r="B31" s="122"/>
      <c r="C31" s="122"/>
      <c r="D31" s="36" t="s">
        <v>188</v>
      </c>
      <c r="E31" s="36" t="s">
        <v>449</v>
      </c>
      <c r="F31" s="36" t="s">
        <v>603</v>
      </c>
      <c r="G31" s="13">
        <v>110</v>
      </c>
      <c r="H31" s="488"/>
      <c r="I31" s="488"/>
      <c r="J31" s="488"/>
      <c r="K31" s="488"/>
      <c r="L31" s="488"/>
      <c r="M31" s="488"/>
      <c r="N31" s="489">
        <v>295.8</v>
      </c>
      <c r="O31" s="489"/>
      <c r="P31" s="485"/>
      <c r="Q31" s="485">
        <f t="shared" si="0"/>
        <v>0</v>
      </c>
      <c r="R31" s="485">
        <f t="shared" si="1"/>
        <v>295.8</v>
      </c>
      <c r="S31" s="122"/>
    </row>
    <row r="32" spans="1:22" ht="24.95" customHeight="1" x14ac:dyDescent="0.25">
      <c r="A32" s="274"/>
      <c r="B32" s="122"/>
      <c r="C32" s="122"/>
      <c r="D32" s="36" t="s">
        <v>188</v>
      </c>
      <c r="E32" s="36" t="s">
        <v>449</v>
      </c>
      <c r="F32" s="36" t="s">
        <v>583</v>
      </c>
      <c r="G32" s="13">
        <v>110</v>
      </c>
      <c r="H32" s="488"/>
      <c r="I32" s="488"/>
      <c r="J32" s="488"/>
      <c r="K32" s="488"/>
      <c r="L32" s="488"/>
      <c r="M32" s="488"/>
      <c r="N32" s="489">
        <v>42.6</v>
      </c>
      <c r="O32" s="489"/>
      <c r="P32" s="485"/>
      <c r="Q32" s="485"/>
      <c r="R32" s="485">
        <f t="shared" si="1"/>
        <v>42.6</v>
      </c>
      <c r="S32" s="122"/>
      <c r="V32" s="136">
        <f>O28+O29+O36+O18</f>
        <v>6724.2</v>
      </c>
    </row>
    <row r="33" spans="1:19" ht="24.95" customHeight="1" x14ac:dyDescent="0.25">
      <c r="A33" s="274"/>
      <c r="B33" s="122"/>
      <c r="C33" s="122"/>
      <c r="D33" s="36" t="s">
        <v>188</v>
      </c>
      <c r="E33" s="36" t="s">
        <v>449</v>
      </c>
      <c r="F33" s="36" t="s">
        <v>609</v>
      </c>
      <c r="G33" s="13">
        <v>110</v>
      </c>
      <c r="H33" s="488">
        <v>41.5</v>
      </c>
      <c r="I33" s="488">
        <v>4.4000000000000004</v>
      </c>
      <c r="J33" s="488"/>
      <c r="K33" s="488"/>
      <c r="L33" s="488"/>
      <c r="M33" s="488"/>
      <c r="N33" s="489"/>
      <c r="O33" s="489"/>
      <c r="P33" s="485">
        <f>O33</f>
        <v>0</v>
      </c>
      <c r="Q33" s="485">
        <f t="shared" si="0"/>
        <v>0</v>
      </c>
      <c r="R33" s="485">
        <f t="shared" si="1"/>
        <v>45.9</v>
      </c>
      <c r="S33" s="122"/>
    </row>
    <row r="34" spans="1:19" ht="24.95" customHeight="1" x14ac:dyDescent="0.25">
      <c r="A34" s="274"/>
      <c r="B34" s="122"/>
      <c r="C34" s="122"/>
      <c r="D34" s="36" t="s">
        <v>188</v>
      </c>
      <c r="E34" s="36" t="s">
        <v>449</v>
      </c>
      <c r="F34" s="36" t="s">
        <v>604</v>
      </c>
      <c r="G34" s="13">
        <v>110</v>
      </c>
      <c r="H34" s="488">
        <v>0.6</v>
      </c>
      <c r="I34" s="488"/>
      <c r="J34" s="488"/>
      <c r="K34" s="488"/>
      <c r="L34" s="488"/>
      <c r="M34" s="488">
        <v>52.2</v>
      </c>
      <c r="N34" s="489"/>
      <c r="O34" s="489"/>
      <c r="P34" s="485">
        <f>O34</f>
        <v>0</v>
      </c>
      <c r="Q34" s="485">
        <f t="shared" si="0"/>
        <v>0</v>
      </c>
      <c r="R34" s="485">
        <f t="shared" si="1"/>
        <v>52.800000000000004</v>
      </c>
      <c r="S34" s="122"/>
    </row>
    <row r="35" spans="1:19" ht="37.9" customHeight="1" x14ac:dyDescent="0.25">
      <c r="A35" s="274"/>
      <c r="B35" s="122"/>
      <c r="C35" s="122"/>
      <c r="D35" s="36" t="s">
        <v>188</v>
      </c>
      <c r="E35" s="36" t="s">
        <v>449</v>
      </c>
      <c r="F35" s="36" t="s">
        <v>602</v>
      </c>
      <c r="G35" s="13">
        <v>110</v>
      </c>
      <c r="H35" s="488"/>
      <c r="I35" s="488"/>
      <c r="J35" s="488"/>
      <c r="K35" s="488"/>
      <c r="L35" s="488"/>
      <c r="M35" s="488">
        <v>1.3</v>
      </c>
      <c r="N35" s="489">
        <v>12.5</v>
      </c>
      <c r="O35" s="489">
        <v>0</v>
      </c>
      <c r="P35" s="485">
        <v>0</v>
      </c>
      <c r="Q35" s="485">
        <f t="shared" si="0"/>
        <v>0</v>
      </c>
      <c r="R35" s="485">
        <f t="shared" si="1"/>
        <v>13.8</v>
      </c>
      <c r="S35" s="122"/>
    </row>
    <row r="36" spans="1:19" ht="24.6" customHeight="1" x14ac:dyDescent="0.25">
      <c r="A36" s="274"/>
      <c r="B36" s="122"/>
      <c r="C36" s="122"/>
      <c r="D36" s="36" t="s">
        <v>188</v>
      </c>
      <c r="E36" s="36" t="s">
        <v>449</v>
      </c>
      <c r="F36" s="36" t="s">
        <v>594</v>
      </c>
      <c r="G36" s="13">
        <v>350</v>
      </c>
      <c r="H36" s="488"/>
      <c r="I36" s="488"/>
      <c r="J36" s="488">
        <v>178.1</v>
      </c>
      <c r="K36" s="488">
        <v>228.1</v>
      </c>
      <c r="L36" s="488">
        <v>209.8</v>
      </c>
      <c r="M36" s="488">
        <v>280</v>
      </c>
      <c r="N36" s="489">
        <v>260</v>
      </c>
      <c r="O36" s="489">
        <v>280</v>
      </c>
      <c r="P36" s="489">
        <v>280</v>
      </c>
      <c r="Q36" s="485">
        <f t="shared" si="0"/>
        <v>280</v>
      </c>
      <c r="R36" s="485">
        <f t="shared" si="1"/>
        <v>1996</v>
      </c>
      <c r="S36" s="122"/>
    </row>
    <row r="37" spans="1:19" ht="24.95" customHeight="1" x14ac:dyDescent="0.25">
      <c r="A37" s="274"/>
      <c r="B37" s="122"/>
      <c r="C37" s="122"/>
      <c r="D37" s="36" t="s">
        <v>188</v>
      </c>
      <c r="E37" s="36" t="s">
        <v>449</v>
      </c>
      <c r="F37" s="36" t="s">
        <v>594</v>
      </c>
      <c r="G37" s="13">
        <v>360</v>
      </c>
      <c r="H37" s="488"/>
      <c r="I37" s="488"/>
      <c r="J37" s="488">
        <v>102</v>
      </c>
      <c r="K37" s="488">
        <v>70</v>
      </c>
      <c r="L37" s="488">
        <v>100</v>
      </c>
      <c r="M37" s="488"/>
      <c r="N37" s="489"/>
      <c r="O37" s="489"/>
      <c r="P37" s="485">
        <f>O37</f>
        <v>0</v>
      </c>
      <c r="Q37" s="485">
        <f t="shared" si="0"/>
        <v>0</v>
      </c>
      <c r="R37" s="485">
        <f t="shared" si="1"/>
        <v>272</v>
      </c>
      <c r="S37" s="122"/>
    </row>
    <row r="38" spans="1:19" ht="24.95" customHeight="1" x14ac:dyDescent="0.25">
      <c r="A38" s="274"/>
      <c r="B38" s="122"/>
      <c r="C38" s="122"/>
      <c r="D38" s="36" t="s">
        <v>188</v>
      </c>
      <c r="E38" s="36" t="s">
        <v>449</v>
      </c>
      <c r="F38" s="36" t="s">
        <v>594</v>
      </c>
      <c r="G38" s="13">
        <v>850</v>
      </c>
      <c r="H38" s="488"/>
      <c r="I38" s="488"/>
      <c r="J38" s="488"/>
      <c r="K38" s="488">
        <v>10.1</v>
      </c>
      <c r="L38" s="488"/>
      <c r="M38" s="488">
        <v>0.1</v>
      </c>
      <c r="N38" s="489"/>
      <c r="O38" s="489">
        <v>37</v>
      </c>
      <c r="P38" s="489">
        <v>37</v>
      </c>
      <c r="Q38" s="489">
        <v>37</v>
      </c>
      <c r="R38" s="485">
        <f t="shared" si="1"/>
        <v>121.2</v>
      </c>
      <c r="S38" s="122"/>
    </row>
    <row r="39" spans="1:19" ht="42.6" customHeight="1" x14ac:dyDescent="0.25">
      <c r="A39" s="274"/>
      <c r="B39" s="122"/>
      <c r="C39" s="122"/>
      <c r="D39" s="36" t="s">
        <v>188</v>
      </c>
      <c r="E39" s="36" t="s">
        <v>449</v>
      </c>
      <c r="F39" s="36" t="s">
        <v>599</v>
      </c>
      <c r="G39" s="13">
        <v>110</v>
      </c>
      <c r="H39" s="488"/>
      <c r="I39" s="488"/>
      <c r="J39" s="488"/>
      <c r="K39" s="488"/>
      <c r="L39" s="488">
        <v>164.2</v>
      </c>
      <c r="M39" s="488"/>
      <c r="N39" s="489"/>
      <c r="O39" s="489"/>
      <c r="P39" s="485">
        <f>O39</f>
        <v>0</v>
      </c>
      <c r="Q39" s="485">
        <f t="shared" si="0"/>
        <v>0</v>
      </c>
      <c r="R39" s="485">
        <f t="shared" si="1"/>
        <v>164.2</v>
      </c>
      <c r="S39" s="122"/>
    </row>
    <row r="40" spans="1:19" ht="24.95" customHeight="1" x14ac:dyDescent="0.25">
      <c r="A40" s="274"/>
      <c r="B40" s="122"/>
      <c r="C40" s="122"/>
      <c r="D40" s="36" t="s">
        <v>188</v>
      </c>
      <c r="E40" s="36" t="s">
        <v>449</v>
      </c>
      <c r="F40" s="36" t="s">
        <v>610</v>
      </c>
      <c r="G40" s="13">
        <v>110</v>
      </c>
      <c r="H40" s="488">
        <v>0</v>
      </c>
      <c r="I40" s="488">
        <v>0</v>
      </c>
      <c r="J40" s="488">
        <v>0</v>
      </c>
      <c r="K40" s="488">
        <v>210.1</v>
      </c>
      <c r="L40" s="488"/>
      <c r="M40" s="488">
        <v>0</v>
      </c>
      <c r="N40" s="489">
        <v>0</v>
      </c>
      <c r="O40" s="489">
        <v>0</v>
      </c>
      <c r="P40" s="485">
        <f>O40</f>
        <v>0</v>
      </c>
      <c r="Q40" s="485">
        <f t="shared" si="0"/>
        <v>0</v>
      </c>
      <c r="R40" s="485">
        <f t="shared" si="1"/>
        <v>210.1</v>
      </c>
      <c r="S40" s="122"/>
    </row>
    <row r="41" spans="1:19" ht="48.6" customHeight="1" x14ac:dyDescent="0.25">
      <c r="A41" s="261" t="s">
        <v>611</v>
      </c>
      <c r="B41" s="74" t="s">
        <v>612</v>
      </c>
      <c r="C41" s="74" t="s">
        <v>613</v>
      </c>
      <c r="D41" s="36" t="s">
        <v>188</v>
      </c>
      <c r="E41" s="36" t="s">
        <v>449</v>
      </c>
      <c r="F41" s="36" t="s">
        <v>594</v>
      </c>
      <c r="G41" s="13">
        <v>110</v>
      </c>
      <c r="H41" s="488"/>
      <c r="I41" s="488"/>
      <c r="J41" s="488"/>
      <c r="K41" s="488"/>
      <c r="L41" s="488"/>
      <c r="M41" s="488">
        <v>2933.4</v>
      </c>
      <c r="N41" s="489">
        <v>7572.5</v>
      </c>
      <c r="O41" s="489">
        <f>11442+231.9</f>
        <v>11673.9</v>
      </c>
      <c r="P41" s="485">
        <v>11442</v>
      </c>
      <c r="Q41" s="485">
        <f t="shared" si="0"/>
        <v>11442</v>
      </c>
      <c r="R41" s="485">
        <f t="shared" si="1"/>
        <v>45063.8</v>
      </c>
      <c r="S41" s="122"/>
    </row>
    <row r="42" spans="1:19" ht="48.6" customHeight="1" x14ac:dyDescent="0.25">
      <c r="A42" s="491"/>
      <c r="B42" s="127"/>
      <c r="C42" s="127"/>
      <c r="D42" s="36" t="s">
        <v>188</v>
      </c>
      <c r="E42" s="36" t="s">
        <v>449</v>
      </c>
      <c r="F42" s="36" t="s">
        <v>602</v>
      </c>
      <c r="G42" s="13">
        <v>110</v>
      </c>
      <c r="H42" s="488"/>
      <c r="I42" s="488"/>
      <c r="J42" s="488"/>
      <c r="K42" s="488"/>
      <c r="L42" s="488"/>
      <c r="M42" s="488">
        <v>24</v>
      </c>
      <c r="N42" s="489">
        <v>217.3</v>
      </c>
      <c r="O42" s="489"/>
      <c r="P42" s="485"/>
      <c r="Q42" s="485">
        <f t="shared" si="0"/>
        <v>0</v>
      </c>
      <c r="R42" s="485">
        <f t="shared" si="1"/>
        <v>241.3</v>
      </c>
      <c r="S42" s="122"/>
    </row>
    <row r="43" spans="1:19" ht="48.6" customHeight="1" x14ac:dyDescent="0.25">
      <c r="A43" s="491"/>
      <c r="B43" s="127"/>
      <c r="C43" s="127"/>
      <c r="D43" s="36" t="s">
        <v>188</v>
      </c>
      <c r="E43" s="36" t="s">
        <v>449</v>
      </c>
      <c r="F43" s="36" t="s">
        <v>583</v>
      </c>
      <c r="G43" s="13">
        <v>110</v>
      </c>
      <c r="H43" s="488"/>
      <c r="I43" s="488"/>
      <c r="J43" s="488"/>
      <c r="K43" s="488"/>
      <c r="L43" s="488"/>
      <c r="M43" s="488"/>
      <c r="N43" s="489">
        <v>62.2</v>
      </c>
      <c r="O43" s="489"/>
      <c r="P43" s="485"/>
      <c r="Q43" s="485"/>
      <c r="R43" s="485">
        <f t="shared" si="1"/>
        <v>62.2</v>
      </c>
      <c r="S43" s="122"/>
    </row>
    <row r="44" spans="1:19" ht="48.6" customHeight="1" x14ac:dyDescent="0.25">
      <c r="A44" s="491"/>
      <c r="B44" s="127"/>
      <c r="C44" s="127"/>
      <c r="D44" s="36" t="s">
        <v>188</v>
      </c>
      <c r="E44" s="36" t="s">
        <v>449</v>
      </c>
      <c r="F44" s="36" t="s">
        <v>614</v>
      </c>
      <c r="G44" s="13">
        <v>110</v>
      </c>
      <c r="H44" s="488"/>
      <c r="I44" s="488"/>
      <c r="J44" s="488"/>
      <c r="K44" s="488"/>
      <c r="L44" s="488"/>
      <c r="M44" s="488">
        <v>172.3</v>
      </c>
      <c r="N44" s="489"/>
      <c r="O44" s="489"/>
      <c r="P44" s="485"/>
      <c r="Q44" s="485">
        <f t="shared" si="0"/>
        <v>0</v>
      </c>
      <c r="R44" s="485">
        <f t="shared" si="1"/>
        <v>172.3</v>
      </c>
      <c r="S44" s="122"/>
    </row>
    <row r="45" spans="1:19" ht="48.6" customHeight="1" x14ac:dyDescent="0.25">
      <c r="A45" s="491"/>
      <c r="B45" s="127"/>
      <c r="C45" s="127"/>
      <c r="D45" s="36" t="s">
        <v>188</v>
      </c>
      <c r="E45" s="36" t="s">
        <v>449</v>
      </c>
      <c r="F45" s="36" t="s">
        <v>603</v>
      </c>
      <c r="G45" s="13">
        <v>110</v>
      </c>
      <c r="H45" s="488"/>
      <c r="I45" s="488"/>
      <c r="J45" s="488"/>
      <c r="K45" s="488"/>
      <c r="L45" s="488"/>
      <c r="M45" s="488"/>
      <c r="N45" s="489">
        <v>202.8</v>
      </c>
      <c r="O45" s="489"/>
      <c r="P45" s="485"/>
      <c r="Q45" s="485">
        <f t="shared" si="0"/>
        <v>0</v>
      </c>
      <c r="R45" s="485">
        <f t="shared" si="1"/>
        <v>202.8</v>
      </c>
      <c r="S45" s="122"/>
    </row>
    <row r="46" spans="1:19" ht="48.6" customHeight="1" x14ac:dyDescent="0.25">
      <c r="A46" s="491"/>
      <c r="B46" s="127"/>
      <c r="C46" s="127"/>
      <c r="D46" s="36" t="s">
        <v>188</v>
      </c>
      <c r="E46" s="36" t="s">
        <v>449</v>
      </c>
      <c r="F46" s="36" t="s">
        <v>604</v>
      </c>
      <c r="G46" s="13">
        <v>110</v>
      </c>
      <c r="H46" s="488"/>
      <c r="I46" s="488"/>
      <c r="J46" s="488"/>
      <c r="K46" s="488"/>
      <c r="L46" s="488"/>
      <c r="M46" s="488">
        <v>51.5</v>
      </c>
      <c r="N46" s="489"/>
      <c r="O46" s="489"/>
      <c r="P46" s="485"/>
      <c r="Q46" s="485">
        <f t="shared" si="0"/>
        <v>0</v>
      </c>
      <c r="R46" s="485">
        <f t="shared" si="1"/>
        <v>51.5</v>
      </c>
      <c r="S46" s="122"/>
    </row>
    <row r="47" spans="1:19" ht="24.95" customHeight="1" x14ac:dyDescent="0.25">
      <c r="A47" s="491"/>
      <c r="B47" s="127"/>
      <c r="C47" s="127"/>
      <c r="D47" s="36" t="s">
        <v>188</v>
      </c>
      <c r="E47" s="36" t="s">
        <v>449</v>
      </c>
      <c r="F47" s="36" t="s">
        <v>594</v>
      </c>
      <c r="G47" s="13">
        <v>240</v>
      </c>
      <c r="H47" s="488"/>
      <c r="I47" s="488"/>
      <c r="J47" s="488"/>
      <c r="K47" s="488"/>
      <c r="L47" s="488"/>
      <c r="M47" s="488">
        <v>2454.6</v>
      </c>
      <c r="N47" s="489">
        <v>3780.8</v>
      </c>
      <c r="O47" s="489">
        <v>4801.8999999999996</v>
      </c>
      <c r="P47" s="485">
        <f>O47</f>
        <v>4801.8999999999996</v>
      </c>
      <c r="Q47" s="485">
        <f t="shared" si="0"/>
        <v>4801.8999999999996</v>
      </c>
      <c r="R47" s="485">
        <f t="shared" si="1"/>
        <v>20641.099999999999</v>
      </c>
      <c r="S47" s="122"/>
    </row>
    <row r="48" spans="1:19" ht="24.95" customHeight="1" x14ac:dyDescent="0.25">
      <c r="A48" s="491"/>
      <c r="B48" s="127"/>
      <c r="C48" s="127"/>
      <c r="D48" s="36" t="s">
        <v>188</v>
      </c>
      <c r="E48" s="36" t="s">
        <v>449</v>
      </c>
      <c r="F48" s="36" t="s">
        <v>594</v>
      </c>
      <c r="G48" s="13">
        <v>320</v>
      </c>
      <c r="H48" s="488"/>
      <c r="I48" s="488"/>
      <c r="J48" s="488"/>
      <c r="K48" s="488"/>
      <c r="L48" s="488"/>
      <c r="M48" s="488">
        <v>310.10000000000002</v>
      </c>
      <c r="N48" s="489"/>
      <c r="O48" s="489"/>
      <c r="P48" s="485">
        <f>O48</f>
        <v>0</v>
      </c>
      <c r="Q48" s="485">
        <f t="shared" si="0"/>
        <v>0</v>
      </c>
      <c r="R48" s="485">
        <f t="shared" si="1"/>
        <v>310.10000000000002</v>
      </c>
      <c r="S48" s="122"/>
    </row>
    <row r="49" spans="1:19" ht="24.95" customHeight="1" x14ac:dyDescent="0.25">
      <c r="A49" s="491"/>
      <c r="B49" s="127"/>
      <c r="C49" s="127"/>
      <c r="D49" s="36" t="s">
        <v>188</v>
      </c>
      <c r="E49" s="36" t="s">
        <v>449</v>
      </c>
      <c r="F49" s="36" t="s">
        <v>594</v>
      </c>
      <c r="G49" s="13">
        <v>800</v>
      </c>
      <c r="H49" s="488"/>
      <c r="I49" s="488"/>
      <c r="J49" s="488"/>
      <c r="K49" s="488"/>
      <c r="L49" s="488"/>
      <c r="M49" s="488">
        <v>29.3</v>
      </c>
      <c r="N49" s="489">
        <f>21+8.3</f>
        <v>29.3</v>
      </c>
      <c r="O49" s="489"/>
      <c r="P49" s="485"/>
      <c r="Q49" s="485"/>
      <c r="R49" s="485">
        <f t="shared" si="1"/>
        <v>58.6</v>
      </c>
      <c r="S49" s="122"/>
    </row>
    <row r="50" spans="1:19" ht="24.95" customHeight="1" x14ac:dyDescent="0.25">
      <c r="A50" s="263"/>
      <c r="B50" s="79"/>
      <c r="C50" s="79"/>
      <c r="D50" s="36" t="s">
        <v>188</v>
      </c>
      <c r="E50" s="36" t="s">
        <v>449</v>
      </c>
      <c r="F50" s="36" t="s">
        <v>601</v>
      </c>
      <c r="G50" s="13">
        <v>110</v>
      </c>
      <c r="H50" s="488"/>
      <c r="I50" s="488"/>
      <c r="J50" s="488"/>
      <c r="K50" s="488"/>
      <c r="L50" s="488"/>
      <c r="M50" s="488">
        <v>1700.2</v>
      </c>
      <c r="N50" s="489">
        <f>1887.7+576.2</f>
        <v>2463.9</v>
      </c>
      <c r="O50" s="489"/>
      <c r="P50" s="485"/>
      <c r="Q50" s="485">
        <f t="shared" si="0"/>
        <v>0</v>
      </c>
      <c r="R50" s="485">
        <f t="shared" si="1"/>
        <v>4164.1000000000004</v>
      </c>
      <c r="S50" s="122"/>
    </row>
    <row r="51" spans="1:19" ht="24.95" customHeight="1" x14ac:dyDescent="0.25">
      <c r="A51" s="492" t="s">
        <v>324</v>
      </c>
      <c r="B51" s="492"/>
      <c r="C51" s="14"/>
      <c r="D51" s="36"/>
      <c r="E51" s="36"/>
      <c r="F51" s="53"/>
      <c r="G51" s="36"/>
      <c r="H51" s="488">
        <f>SUM(H7:H40)</f>
        <v>19536.699999999997</v>
      </c>
      <c r="I51" s="488">
        <f>SUM(I7:I40)</f>
        <v>21029.500000000004</v>
      </c>
      <c r="J51" s="488">
        <f>SUM(J7:J40)</f>
        <v>21804.799999999996</v>
      </c>
      <c r="K51" s="488">
        <f>SUM(K7:K40)</f>
        <v>23513.399999999994</v>
      </c>
      <c r="L51" s="488">
        <f>SUM(L7:L40)</f>
        <v>24124.210000000003</v>
      </c>
      <c r="M51" s="488">
        <f>SUM(M7:M50)</f>
        <v>32474.699999999997</v>
      </c>
      <c r="N51" s="489">
        <f>SUM(N7:N50)</f>
        <v>42023.500000000007</v>
      </c>
      <c r="O51" s="489">
        <f>SUM(O7:O50)</f>
        <v>47373.1</v>
      </c>
      <c r="P51" s="489">
        <f>SUM(P7:P50)</f>
        <v>45977.599999999999</v>
      </c>
      <c r="Q51" s="485">
        <f t="shared" si="0"/>
        <v>45977.599999999999</v>
      </c>
      <c r="R51" s="485">
        <f t="shared" si="1"/>
        <v>323835.11</v>
      </c>
      <c r="S51" s="122"/>
    </row>
    <row r="52" spans="1:19" ht="35.1" customHeight="1" x14ac:dyDescent="0.25">
      <c r="A52" s="233" t="s">
        <v>572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</row>
    <row r="53" spans="1:19" ht="24.95" customHeight="1" x14ac:dyDescent="0.25">
      <c r="A53" s="274" t="s">
        <v>615</v>
      </c>
      <c r="B53" s="493" t="s">
        <v>616</v>
      </c>
      <c r="C53" s="122" t="s">
        <v>617</v>
      </c>
      <c r="D53" s="494" t="s">
        <v>188</v>
      </c>
      <c r="E53" s="8" t="s">
        <v>449</v>
      </c>
      <c r="F53" s="36" t="s">
        <v>618</v>
      </c>
      <c r="G53" s="14">
        <v>120</v>
      </c>
      <c r="H53" s="488">
        <v>817.5</v>
      </c>
      <c r="I53" s="488">
        <v>841.6</v>
      </c>
      <c r="J53" s="488">
        <v>858.7</v>
      </c>
      <c r="K53" s="488">
        <v>858.7</v>
      </c>
      <c r="L53" s="488">
        <v>1430.7</v>
      </c>
      <c r="M53" s="488">
        <v>1626.7</v>
      </c>
      <c r="N53" s="489">
        <v>1904.9</v>
      </c>
      <c r="O53" s="489">
        <v>2072.4</v>
      </c>
      <c r="P53" s="489">
        <v>2072.4</v>
      </c>
      <c r="Q53" s="489">
        <f>P53</f>
        <v>2072.4</v>
      </c>
      <c r="R53" s="489">
        <f>SUM(H53:Q53)</f>
        <v>14555.999999999998</v>
      </c>
      <c r="S53" s="122" t="s">
        <v>619</v>
      </c>
    </row>
    <row r="54" spans="1:19" ht="24.95" customHeight="1" x14ac:dyDescent="0.25">
      <c r="A54" s="274"/>
      <c r="B54" s="493"/>
      <c r="C54" s="122"/>
      <c r="D54" s="494"/>
      <c r="E54" s="8"/>
      <c r="F54" s="36" t="s">
        <v>618</v>
      </c>
      <c r="G54" s="14">
        <v>850</v>
      </c>
      <c r="H54" s="488"/>
      <c r="I54" s="488"/>
      <c r="J54" s="488">
        <v>0.3</v>
      </c>
      <c r="K54" s="488"/>
      <c r="L54" s="488">
        <v>0.6</v>
      </c>
      <c r="M54" s="488">
        <v>0.6</v>
      </c>
      <c r="N54" s="489">
        <v>0.6</v>
      </c>
      <c r="O54" s="489">
        <v>0</v>
      </c>
      <c r="P54" s="489">
        <v>0</v>
      </c>
      <c r="Q54" s="489">
        <f>P54</f>
        <v>0</v>
      </c>
      <c r="R54" s="489">
        <f t="shared" ref="R54:R61" si="3">SUM(H54:Q54)</f>
        <v>2.1</v>
      </c>
      <c r="S54" s="122"/>
    </row>
    <row r="55" spans="1:19" ht="24.95" customHeight="1" x14ac:dyDescent="0.25">
      <c r="A55" s="274"/>
      <c r="B55" s="493"/>
      <c r="C55" s="122"/>
      <c r="D55" s="494"/>
      <c r="E55" s="8"/>
      <c r="F55" s="36" t="s">
        <v>618</v>
      </c>
      <c r="G55" s="13">
        <v>244</v>
      </c>
      <c r="H55" s="488">
        <v>248</v>
      </c>
      <c r="I55" s="488">
        <v>247.9</v>
      </c>
      <c r="J55" s="488">
        <v>247.6</v>
      </c>
      <c r="K55" s="488">
        <v>247.9</v>
      </c>
      <c r="L55" s="488">
        <v>383.9</v>
      </c>
      <c r="M55" s="488">
        <v>399</v>
      </c>
      <c r="N55" s="489">
        <v>399</v>
      </c>
      <c r="O55" s="489">
        <v>432.2</v>
      </c>
      <c r="P55" s="489">
        <v>432.2</v>
      </c>
      <c r="Q55" s="489">
        <f>P55</f>
        <v>432.2</v>
      </c>
      <c r="R55" s="489">
        <f t="shared" si="3"/>
        <v>3469.8999999999996</v>
      </c>
      <c r="S55" s="122"/>
    </row>
    <row r="56" spans="1:19" ht="24.95" customHeight="1" x14ac:dyDescent="0.25">
      <c r="A56" s="274" t="s">
        <v>620</v>
      </c>
      <c r="B56" s="493" t="s">
        <v>621</v>
      </c>
      <c r="C56" s="122" t="s">
        <v>622</v>
      </c>
      <c r="D56" s="36" t="s">
        <v>190</v>
      </c>
      <c r="E56" s="36" t="s">
        <v>298</v>
      </c>
      <c r="F56" s="36" t="s">
        <v>623</v>
      </c>
      <c r="G56" s="36" t="s">
        <v>624</v>
      </c>
      <c r="H56" s="488">
        <v>2129.1999999999998</v>
      </c>
      <c r="I56" s="488">
        <v>3247.3</v>
      </c>
      <c r="J56" s="488">
        <v>9009.9</v>
      </c>
      <c r="K56" s="488">
        <v>0</v>
      </c>
      <c r="L56" s="488"/>
      <c r="M56" s="488"/>
      <c r="N56" s="489"/>
      <c r="O56" s="489"/>
      <c r="P56" s="489">
        <f>O56</f>
        <v>0</v>
      </c>
      <c r="Q56" s="489">
        <f>P56</f>
        <v>0</v>
      </c>
      <c r="R56" s="489">
        <f t="shared" si="3"/>
        <v>14386.4</v>
      </c>
      <c r="S56" s="122" t="s">
        <v>625</v>
      </c>
    </row>
    <row r="57" spans="1:19" ht="24.95" customHeight="1" x14ac:dyDescent="0.25">
      <c r="A57" s="274"/>
      <c r="B57" s="493"/>
      <c r="C57" s="122"/>
      <c r="D57" s="36" t="s">
        <v>190</v>
      </c>
      <c r="E57" s="36" t="s">
        <v>298</v>
      </c>
      <c r="F57" s="36" t="s">
        <v>626</v>
      </c>
      <c r="G57" s="36" t="s">
        <v>624</v>
      </c>
      <c r="H57" s="488">
        <v>5394</v>
      </c>
      <c r="I57" s="488">
        <v>4190.7</v>
      </c>
      <c r="J57" s="488"/>
      <c r="K57" s="488"/>
      <c r="L57" s="488"/>
      <c r="M57" s="488"/>
      <c r="N57" s="489"/>
      <c r="O57" s="489">
        <v>1185.3</v>
      </c>
      <c r="P57" s="489">
        <v>4563</v>
      </c>
      <c r="Q57" s="489">
        <v>2554.6</v>
      </c>
      <c r="R57" s="489">
        <f t="shared" si="3"/>
        <v>17887.599999999999</v>
      </c>
      <c r="S57" s="122"/>
    </row>
    <row r="58" spans="1:19" ht="40.9" customHeight="1" x14ac:dyDescent="0.25">
      <c r="A58" s="274"/>
      <c r="B58" s="493"/>
      <c r="C58" s="122"/>
      <c r="D58" s="36" t="s">
        <v>190</v>
      </c>
      <c r="E58" s="36" t="s">
        <v>298</v>
      </c>
      <c r="F58" s="36" t="s">
        <v>627</v>
      </c>
      <c r="G58" s="36" t="s">
        <v>624</v>
      </c>
      <c r="H58" s="488"/>
      <c r="I58" s="488"/>
      <c r="J58" s="488">
        <v>473.9</v>
      </c>
      <c r="K58" s="488">
        <f>5610+2805+765</f>
        <v>9180</v>
      </c>
      <c r="L58" s="488">
        <v>10241.9</v>
      </c>
      <c r="M58" s="488">
        <v>9907.9</v>
      </c>
      <c r="N58" s="489">
        <v>15279.7</v>
      </c>
      <c r="O58" s="489">
        <v>3555.7</v>
      </c>
      <c r="P58" s="489">
        <v>15210</v>
      </c>
      <c r="Q58" s="489">
        <v>6254.3</v>
      </c>
      <c r="R58" s="489">
        <f t="shared" si="3"/>
        <v>70103.399999999994</v>
      </c>
      <c r="S58" s="122"/>
    </row>
    <row r="59" spans="1:19" ht="35.1" customHeight="1" x14ac:dyDescent="0.3">
      <c r="A59" s="495" t="s">
        <v>464</v>
      </c>
      <c r="B59" s="495"/>
      <c r="C59" s="496"/>
      <c r="D59" s="497"/>
      <c r="E59" s="497"/>
      <c r="F59" s="498"/>
      <c r="G59" s="497"/>
      <c r="H59" s="488">
        <f t="shared" ref="H59:N59" si="4">SUM(H53:H58)</f>
        <v>8588.7000000000007</v>
      </c>
      <c r="I59" s="488">
        <f t="shared" si="4"/>
        <v>8527.5</v>
      </c>
      <c r="J59" s="488">
        <f t="shared" si="4"/>
        <v>10590.4</v>
      </c>
      <c r="K59" s="488">
        <f t="shared" si="4"/>
        <v>10286.6</v>
      </c>
      <c r="L59" s="488">
        <f>SUM(L53:L58)</f>
        <v>12057.099999999999</v>
      </c>
      <c r="M59" s="488">
        <f t="shared" si="4"/>
        <v>11934.199999999999</v>
      </c>
      <c r="N59" s="489">
        <f t="shared" si="4"/>
        <v>17584.2</v>
      </c>
      <c r="O59" s="489">
        <f>SUM(O53:O58)</f>
        <v>7245.5999999999995</v>
      </c>
      <c r="P59" s="489">
        <f>SUM(P53:P58)</f>
        <v>22277.599999999999</v>
      </c>
      <c r="Q59" s="489">
        <f>SUM(Q53:Q58)</f>
        <v>11313.5</v>
      </c>
      <c r="R59" s="489">
        <f t="shared" si="3"/>
        <v>120405.4</v>
      </c>
      <c r="S59" s="499"/>
    </row>
    <row r="60" spans="1:19" s="34" customFormat="1" ht="35.1" customHeight="1" x14ac:dyDescent="0.25">
      <c r="A60" s="500" t="s">
        <v>325</v>
      </c>
      <c r="B60" s="500"/>
      <c r="C60" s="496"/>
      <c r="D60" s="497"/>
      <c r="E60" s="496"/>
      <c r="F60" s="496"/>
      <c r="G60" s="496"/>
      <c r="H60" s="488">
        <f t="shared" ref="H60:M60" si="5">H51+H59</f>
        <v>28125.399999999998</v>
      </c>
      <c r="I60" s="488">
        <f t="shared" si="5"/>
        <v>29557.000000000004</v>
      </c>
      <c r="J60" s="488">
        <f t="shared" si="5"/>
        <v>32395.199999999997</v>
      </c>
      <c r="K60" s="488">
        <f t="shared" si="5"/>
        <v>33799.999999999993</v>
      </c>
      <c r="L60" s="488">
        <f t="shared" si="5"/>
        <v>36181.31</v>
      </c>
      <c r="M60" s="488">
        <f t="shared" si="5"/>
        <v>44408.899999999994</v>
      </c>
      <c r="N60" s="489">
        <f>N51+N59</f>
        <v>59607.700000000012</v>
      </c>
      <c r="O60" s="489">
        <f>O51+O59</f>
        <v>54618.7</v>
      </c>
      <c r="P60" s="489">
        <f>P51+P59</f>
        <v>68255.199999999997</v>
      </c>
      <c r="Q60" s="489">
        <f>Q51+Q59</f>
        <v>57291.1</v>
      </c>
      <c r="R60" s="489">
        <f t="shared" si="3"/>
        <v>444240.51</v>
      </c>
      <c r="S60" s="501"/>
    </row>
    <row r="61" spans="1:19" s="34" customFormat="1" ht="35.1" customHeight="1" x14ac:dyDescent="0.25">
      <c r="A61" s="500" t="s">
        <v>326</v>
      </c>
      <c r="B61" s="500"/>
      <c r="C61" s="496"/>
      <c r="D61" s="497"/>
      <c r="E61" s="496"/>
      <c r="F61" s="496"/>
      <c r="G61" s="496"/>
      <c r="H61" s="488">
        <f>H59</f>
        <v>8588.7000000000007</v>
      </c>
      <c r="I61" s="488">
        <f>I59</f>
        <v>8527.5</v>
      </c>
      <c r="J61" s="488">
        <f>J59</f>
        <v>10590.4</v>
      </c>
      <c r="K61" s="488">
        <f>K59</f>
        <v>10286.6</v>
      </c>
      <c r="L61" s="488">
        <f>L59+L39+L17+L16+L19+L15</f>
        <v>12950.499999999998</v>
      </c>
      <c r="M61" s="488">
        <f>M14+M16+M17+M22+M25+M34+M35+M42+M44+M46+M59</f>
        <v>12440.3</v>
      </c>
      <c r="N61" s="489">
        <f>N10+N11+N13+N22+N23+N24+N31+N32+N35+N43++N42+N45+N59+N12</f>
        <v>19788.699999999997</v>
      </c>
      <c r="O61" s="489">
        <f>O14+O16+O17+O22+O25+O34+O35+O42+O44+O46+O59</f>
        <v>7245.5999999999995</v>
      </c>
      <c r="P61" s="489">
        <f>P14+P16+P17+P22+P25+P34+P35+P42+P44+P46+P59</f>
        <v>22277.599999999999</v>
      </c>
      <c r="Q61" s="489">
        <f>Q14+Q16+Q17+Q22+Q25+Q34+Q35+Q42+Q44+Q46+Q59</f>
        <v>11313.5</v>
      </c>
      <c r="R61" s="489">
        <f t="shared" si="3"/>
        <v>124009.4</v>
      </c>
      <c r="S61" s="501"/>
    </row>
    <row r="62" spans="1:19" s="34" customFormat="1" ht="35.1" customHeight="1" x14ac:dyDescent="0.25">
      <c r="A62" s="500" t="s">
        <v>327</v>
      </c>
      <c r="B62" s="500"/>
      <c r="C62" s="496"/>
      <c r="D62" s="497"/>
      <c r="E62" s="496"/>
      <c r="F62" s="496"/>
      <c r="G62" s="496"/>
      <c r="H62" s="488">
        <f>H51</f>
        <v>19536.699999999997</v>
      </c>
      <c r="I62" s="488">
        <f>I51</f>
        <v>21029.500000000004</v>
      </c>
      <c r="J62" s="488">
        <f>J51</f>
        <v>21804.799999999996</v>
      </c>
      <c r="K62" s="488">
        <f>K51</f>
        <v>23513.399999999994</v>
      </c>
      <c r="L62" s="488">
        <f>L7+L8+L18+L20+L21+L26+L27+L28+L29+L30+L36+L37+L9</f>
        <v>23230.81</v>
      </c>
      <c r="M62" s="488">
        <f>M60-M61</f>
        <v>31968.599999999995</v>
      </c>
      <c r="N62" s="489">
        <f>N60-N61</f>
        <v>39819.000000000015</v>
      </c>
      <c r="O62" s="489">
        <f>O60-O61</f>
        <v>47373.1</v>
      </c>
      <c r="P62" s="489">
        <f>P60-P61</f>
        <v>45977.599999999999</v>
      </c>
      <c r="Q62" s="489">
        <f>Q60-Q61</f>
        <v>45977.599999999999</v>
      </c>
      <c r="R62" s="489">
        <f>SUM(H62:Q62)</f>
        <v>320231.11</v>
      </c>
      <c r="S62" s="501"/>
    </row>
    <row r="63" spans="1:19" s="317" customFormat="1" ht="56.25" customHeight="1" x14ac:dyDescent="0.3">
      <c r="A63" s="502" t="s">
        <v>159</v>
      </c>
      <c r="B63" s="502"/>
      <c r="C63" s="502"/>
      <c r="D63" s="503"/>
      <c r="E63" s="503"/>
      <c r="F63" s="503"/>
      <c r="G63" s="503"/>
      <c r="H63" s="503"/>
      <c r="I63" s="504"/>
      <c r="J63" s="505"/>
      <c r="K63" s="506"/>
      <c r="L63" s="507"/>
      <c r="M63" s="507"/>
      <c r="N63" s="508"/>
      <c r="O63" s="508"/>
      <c r="P63" s="509"/>
      <c r="Q63" s="509"/>
      <c r="R63" s="509"/>
      <c r="S63" s="510" t="s">
        <v>160</v>
      </c>
    </row>
    <row r="64" spans="1:19" x14ac:dyDescent="0.25">
      <c r="A64" s="297"/>
      <c r="B64" s="298"/>
      <c r="C64" s="299"/>
      <c r="D64" s="299"/>
      <c r="E64" s="299"/>
      <c r="F64" s="299"/>
      <c r="G64" s="299"/>
      <c r="H64" s="299"/>
      <c r="L64" s="136"/>
    </row>
    <row r="65" spans="1:9" x14ac:dyDescent="0.25">
      <c r="A65" s="297"/>
      <c r="B65" s="298"/>
      <c r="C65" s="299"/>
      <c r="D65" s="299"/>
      <c r="E65" s="299"/>
      <c r="F65" s="299"/>
      <c r="G65" s="299"/>
      <c r="H65" s="299"/>
    </row>
    <row r="66" spans="1:9" x14ac:dyDescent="0.25">
      <c r="A66" s="297"/>
      <c r="B66" s="298"/>
      <c r="C66" s="299"/>
      <c r="D66" s="299"/>
      <c r="E66" s="299"/>
      <c r="F66" s="299"/>
      <c r="G66" s="299"/>
      <c r="H66" s="299"/>
      <c r="I66" s="135"/>
    </row>
    <row r="67" spans="1:9" x14ac:dyDescent="0.25">
      <c r="A67" s="297"/>
      <c r="B67" s="298"/>
      <c r="C67" s="299"/>
      <c r="D67" s="299"/>
      <c r="E67" s="299"/>
      <c r="F67" s="299"/>
      <c r="G67" s="299"/>
      <c r="H67" s="299"/>
    </row>
    <row r="68" spans="1:9" x14ac:dyDescent="0.25">
      <c r="A68" s="297"/>
      <c r="B68" s="298"/>
      <c r="C68" s="299"/>
      <c r="D68" s="299"/>
      <c r="E68" s="299"/>
      <c r="F68" s="299"/>
      <c r="G68" s="299"/>
      <c r="H68" s="299"/>
    </row>
    <row r="69" spans="1:9" x14ac:dyDescent="0.25">
      <c r="A69" s="297"/>
      <c r="B69" s="298"/>
      <c r="C69" s="299"/>
      <c r="D69" s="299"/>
      <c r="E69" s="299"/>
      <c r="F69" s="299"/>
      <c r="G69" s="299"/>
      <c r="H69" s="299"/>
    </row>
    <row r="70" spans="1:9" x14ac:dyDescent="0.25">
      <c r="A70" s="297"/>
      <c r="B70" s="298"/>
      <c r="C70" s="299"/>
      <c r="D70" s="299"/>
      <c r="E70" s="299"/>
      <c r="F70" s="299"/>
      <c r="G70" s="299"/>
      <c r="H70" s="299"/>
    </row>
    <row r="71" spans="1:9" x14ac:dyDescent="0.25">
      <c r="A71" s="297"/>
      <c r="B71" s="298"/>
      <c r="C71" s="299"/>
      <c r="D71" s="299"/>
      <c r="E71" s="299"/>
      <c r="F71" s="299"/>
      <c r="G71" s="299"/>
      <c r="H71" s="299"/>
    </row>
    <row r="72" spans="1:9" x14ac:dyDescent="0.25">
      <c r="A72" s="297"/>
      <c r="B72" s="298"/>
      <c r="C72" s="299"/>
      <c r="D72" s="299"/>
      <c r="E72" s="299"/>
      <c r="F72" s="299"/>
      <c r="G72" s="299"/>
      <c r="H72" s="299"/>
    </row>
    <row r="73" spans="1:9" x14ac:dyDescent="0.25">
      <c r="A73" s="297"/>
      <c r="B73" s="298"/>
      <c r="C73" s="299"/>
      <c r="D73" s="299"/>
      <c r="E73" s="299"/>
      <c r="F73" s="299"/>
      <c r="G73" s="299"/>
      <c r="H73" s="299"/>
    </row>
    <row r="74" spans="1:9" x14ac:dyDescent="0.25">
      <c r="A74" s="297"/>
      <c r="B74" s="298"/>
      <c r="C74" s="299"/>
      <c r="D74" s="299"/>
      <c r="E74" s="299"/>
      <c r="F74" s="299"/>
      <c r="G74" s="299"/>
      <c r="H74" s="299"/>
    </row>
    <row r="75" spans="1:9" x14ac:dyDescent="0.25">
      <c r="A75" s="297"/>
      <c r="B75" s="298"/>
      <c r="C75" s="299"/>
      <c r="D75" s="299"/>
      <c r="E75" s="299"/>
      <c r="F75" s="299"/>
      <c r="G75" s="299"/>
      <c r="H75" s="299"/>
    </row>
    <row r="76" spans="1:9" x14ac:dyDescent="0.25">
      <c r="A76" s="297"/>
      <c r="B76" s="298"/>
      <c r="C76" s="299"/>
      <c r="D76" s="299"/>
      <c r="E76" s="299"/>
      <c r="F76" s="299"/>
      <c r="G76" s="299"/>
      <c r="H76" s="299"/>
    </row>
    <row r="77" spans="1:9" x14ac:dyDescent="0.25">
      <c r="A77" s="297"/>
      <c r="B77" s="298"/>
      <c r="C77" s="299"/>
      <c r="D77" s="299"/>
      <c r="E77" s="299"/>
      <c r="F77" s="299"/>
      <c r="G77" s="299"/>
      <c r="H77" s="299"/>
    </row>
    <row r="78" spans="1:9" x14ac:dyDescent="0.25">
      <c r="A78" s="297"/>
      <c r="B78" s="298"/>
      <c r="C78" s="299"/>
      <c r="D78" s="299"/>
      <c r="E78" s="299"/>
      <c r="F78" s="299"/>
      <c r="G78" s="299"/>
      <c r="H78" s="299"/>
    </row>
    <row r="79" spans="1:9" x14ac:dyDescent="0.25">
      <c r="A79" s="297"/>
      <c r="B79" s="298"/>
      <c r="C79" s="299"/>
      <c r="D79" s="299"/>
      <c r="E79" s="299"/>
      <c r="F79" s="299"/>
      <c r="G79" s="299"/>
      <c r="H79" s="299"/>
    </row>
    <row r="80" spans="1:9" x14ac:dyDescent="0.25">
      <c r="A80" s="297"/>
      <c r="B80" s="298"/>
      <c r="C80" s="299"/>
      <c r="D80" s="299"/>
      <c r="E80" s="299"/>
      <c r="F80" s="299"/>
      <c r="G80" s="299"/>
      <c r="H80" s="299"/>
    </row>
    <row r="81" spans="1:8" x14ac:dyDescent="0.25">
      <c r="A81" s="297"/>
      <c r="B81" s="298"/>
      <c r="C81" s="299"/>
      <c r="D81" s="299"/>
      <c r="E81" s="299"/>
      <c r="F81" s="299"/>
      <c r="G81" s="299"/>
      <c r="H81" s="299"/>
    </row>
    <row r="82" spans="1:8" x14ac:dyDescent="0.25">
      <c r="A82" s="297"/>
      <c r="B82" s="298"/>
      <c r="C82" s="299"/>
      <c r="D82" s="299"/>
      <c r="E82" s="299"/>
      <c r="F82" s="299"/>
      <c r="G82" s="299"/>
      <c r="H82" s="299"/>
    </row>
    <row r="83" spans="1:8" x14ac:dyDescent="0.25">
      <c r="A83" s="297"/>
      <c r="B83" s="298"/>
      <c r="C83" s="299"/>
      <c r="D83" s="299"/>
      <c r="E83" s="299"/>
      <c r="F83" s="299"/>
      <c r="G83" s="299"/>
      <c r="H83" s="299"/>
    </row>
    <row r="84" spans="1:8" x14ac:dyDescent="0.25">
      <c r="A84" s="297"/>
      <c r="B84" s="298"/>
      <c r="C84" s="299"/>
      <c r="D84" s="299"/>
      <c r="E84" s="299"/>
      <c r="F84" s="299"/>
      <c r="G84" s="299"/>
      <c r="H84" s="299"/>
    </row>
    <row r="85" spans="1:8" x14ac:dyDescent="0.25">
      <c r="A85" s="297"/>
      <c r="B85" s="298"/>
      <c r="C85" s="299"/>
      <c r="D85" s="299"/>
      <c r="E85" s="299"/>
      <c r="F85" s="299"/>
      <c r="G85" s="299"/>
      <c r="H85" s="299"/>
    </row>
    <row r="86" spans="1:8" x14ac:dyDescent="0.25">
      <c r="A86" s="297"/>
      <c r="B86" s="298"/>
      <c r="C86" s="299"/>
      <c r="D86" s="299"/>
      <c r="E86" s="299"/>
      <c r="F86" s="299"/>
      <c r="G86" s="299"/>
      <c r="H86" s="299"/>
    </row>
    <row r="87" spans="1:8" x14ac:dyDescent="0.25">
      <c r="A87" s="297"/>
      <c r="B87" s="298"/>
      <c r="C87" s="299"/>
      <c r="D87" s="299"/>
      <c r="E87" s="299"/>
      <c r="F87" s="299"/>
      <c r="G87" s="299"/>
      <c r="H87" s="299"/>
    </row>
    <row r="88" spans="1:8" x14ac:dyDescent="0.25">
      <c r="A88" s="297"/>
      <c r="B88" s="298"/>
      <c r="C88" s="299"/>
      <c r="D88" s="299"/>
      <c r="E88" s="299"/>
      <c r="F88" s="299"/>
      <c r="G88" s="299"/>
      <c r="H88" s="299"/>
    </row>
    <row r="89" spans="1:8" x14ac:dyDescent="0.25">
      <c r="A89" s="297"/>
      <c r="B89" s="298"/>
      <c r="C89" s="299"/>
      <c r="D89" s="299"/>
      <c r="E89" s="299"/>
      <c r="F89" s="299"/>
      <c r="G89" s="299"/>
      <c r="H89" s="299"/>
    </row>
    <row r="90" spans="1:8" x14ac:dyDescent="0.25">
      <c r="A90" s="297"/>
      <c r="B90" s="298"/>
      <c r="C90" s="299"/>
      <c r="D90" s="299"/>
      <c r="E90" s="299"/>
      <c r="F90" s="299"/>
      <c r="G90" s="299"/>
      <c r="H90" s="299"/>
    </row>
    <row r="91" spans="1:8" x14ac:dyDescent="0.25">
      <c r="A91" s="297"/>
      <c r="B91" s="298"/>
      <c r="C91" s="299"/>
      <c r="D91" s="299"/>
      <c r="E91" s="299"/>
      <c r="F91" s="299"/>
      <c r="G91" s="299"/>
      <c r="H91" s="299"/>
    </row>
    <row r="92" spans="1:8" x14ac:dyDescent="0.25">
      <c r="A92" s="297"/>
      <c r="B92" s="298"/>
      <c r="C92" s="299"/>
      <c r="D92" s="299"/>
      <c r="E92" s="299"/>
      <c r="F92" s="299"/>
      <c r="G92" s="299"/>
      <c r="H92" s="299"/>
    </row>
    <row r="93" spans="1:8" x14ac:dyDescent="0.25">
      <c r="A93" s="297"/>
      <c r="B93" s="298"/>
      <c r="C93" s="299"/>
      <c r="D93" s="299"/>
      <c r="E93" s="299"/>
      <c r="F93" s="299"/>
      <c r="G93" s="299"/>
      <c r="H93" s="299"/>
    </row>
    <row r="94" spans="1:8" x14ac:dyDescent="0.25">
      <c r="A94" s="297"/>
      <c r="B94" s="298"/>
      <c r="C94" s="299"/>
      <c r="D94" s="299"/>
      <c r="E94" s="299"/>
      <c r="F94" s="299"/>
      <c r="G94" s="299"/>
      <c r="H94" s="299"/>
    </row>
    <row r="95" spans="1:8" x14ac:dyDescent="0.25">
      <c r="A95" s="297"/>
      <c r="B95" s="298"/>
      <c r="C95" s="299"/>
      <c r="D95" s="299"/>
      <c r="E95" s="299"/>
      <c r="F95" s="299"/>
      <c r="G95" s="299"/>
      <c r="H95" s="299"/>
    </row>
    <row r="96" spans="1:8" x14ac:dyDescent="0.25">
      <c r="A96" s="297"/>
      <c r="B96" s="298"/>
      <c r="C96" s="299"/>
      <c r="D96" s="299"/>
      <c r="E96" s="299"/>
      <c r="F96" s="299"/>
      <c r="G96" s="299"/>
      <c r="H96" s="299"/>
    </row>
    <row r="97" spans="1:8" x14ac:dyDescent="0.25">
      <c r="A97" s="297"/>
      <c r="B97" s="298"/>
      <c r="C97" s="299"/>
      <c r="D97" s="299"/>
      <c r="E97" s="299"/>
      <c r="F97" s="299"/>
      <c r="G97" s="299"/>
      <c r="H97" s="299"/>
    </row>
    <row r="98" spans="1:8" x14ac:dyDescent="0.25">
      <c r="A98" s="297"/>
      <c r="B98" s="298"/>
      <c r="C98" s="299"/>
      <c r="D98" s="299"/>
      <c r="E98" s="299"/>
      <c r="F98" s="299"/>
      <c r="G98" s="299"/>
      <c r="H98" s="299"/>
    </row>
    <row r="99" spans="1:8" x14ac:dyDescent="0.25">
      <c r="A99" s="297"/>
      <c r="B99" s="298"/>
      <c r="C99" s="299"/>
      <c r="D99" s="299"/>
      <c r="E99" s="299"/>
      <c r="F99" s="299"/>
      <c r="G99" s="299"/>
      <c r="H99" s="299"/>
    </row>
    <row r="100" spans="1:8" x14ac:dyDescent="0.25">
      <c r="A100" s="297"/>
      <c r="B100" s="298"/>
      <c r="C100" s="299"/>
      <c r="D100" s="299"/>
      <c r="E100" s="299"/>
      <c r="F100" s="299"/>
      <c r="G100" s="299"/>
      <c r="H100" s="299"/>
    </row>
  </sheetData>
  <mergeCells count="43">
    <mergeCell ref="A61:B61"/>
    <mergeCell ref="A62:B62"/>
    <mergeCell ref="A63:C63"/>
    <mergeCell ref="A56:A58"/>
    <mergeCell ref="B56:B58"/>
    <mergeCell ref="C56:C58"/>
    <mergeCell ref="S56:S58"/>
    <mergeCell ref="A59:B59"/>
    <mergeCell ref="A60:B60"/>
    <mergeCell ref="C41:C50"/>
    <mergeCell ref="A51:B51"/>
    <mergeCell ref="A52:S52"/>
    <mergeCell ref="A53:A55"/>
    <mergeCell ref="B53:B55"/>
    <mergeCell ref="C53:C55"/>
    <mergeCell ref="D53:D55"/>
    <mergeCell ref="E53:E55"/>
    <mergeCell ref="S53:S55"/>
    <mergeCell ref="A19:A27"/>
    <mergeCell ref="B19:B27"/>
    <mergeCell ref="C19:C27"/>
    <mergeCell ref="S19:S27"/>
    <mergeCell ref="A28:A40"/>
    <mergeCell ref="B28:B40"/>
    <mergeCell ref="C28:C40"/>
    <mergeCell ref="S28:S51"/>
    <mergeCell ref="A41:A50"/>
    <mergeCell ref="B41:B50"/>
    <mergeCell ref="A5:S5"/>
    <mergeCell ref="A6:S6"/>
    <mergeCell ref="A7:A17"/>
    <mergeCell ref="B7:B17"/>
    <mergeCell ref="C7:C17"/>
    <mergeCell ref="S7:S8"/>
    <mergeCell ref="I1:J1"/>
    <mergeCell ref="R1:S1"/>
    <mergeCell ref="A2:S2"/>
    <mergeCell ref="A3:A4"/>
    <mergeCell ref="B3:B4"/>
    <mergeCell ref="C3:C4"/>
    <mergeCell ref="D3:G3"/>
    <mergeCell ref="H3:R3"/>
    <mergeCell ref="S3:S4"/>
  </mergeCells>
  <pageMargins left="0.31496062992125984" right="0.31496062992125984" top="0.15748031496062992" bottom="0.15748031496062992" header="0" footer="0"/>
  <pageSetup paperSize="9" scale="27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B17" sqref="B17"/>
    </sheetView>
  </sheetViews>
  <sheetFormatPr defaultRowHeight="15.75" x14ac:dyDescent="0.25"/>
  <cols>
    <col min="1" max="1" width="5.140625" style="68" customWidth="1"/>
    <col min="2" max="2" width="57.42578125" style="69" customWidth="1"/>
    <col min="3" max="3" width="11.7109375" style="69" customWidth="1"/>
    <col min="4" max="4" width="10.42578125" style="69" hidden="1" customWidth="1"/>
    <col min="5" max="7" width="10.5703125" style="69" hidden="1" customWidth="1"/>
    <col min="8" max="15" width="10.5703125" style="69" customWidth="1"/>
    <col min="16" max="16" width="10.42578125" style="69" customWidth="1"/>
    <col min="17" max="17" width="11.140625" style="69" customWidth="1"/>
    <col min="18" max="16384" width="9.140625" style="69"/>
  </cols>
  <sheetData>
    <row r="1" spans="1:17" ht="78" customHeight="1" x14ac:dyDescent="0.25">
      <c r="K1" s="70"/>
      <c r="L1" s="70"/>
      <c r="M1" s="71" t="s">
        <v>161</v>
      </c>
      <c r="N1" s="71"/>
      <c r="O1" s="71"/>
      <c r="P1" s="71"/>
      <c r="Q1" s="71"/>
    </row>
    <row r="2" spans="1:17" ht="34.5" customHeight="1" x14ac:dyDescent="0.25">
      <c r="A2" s="72" t="s">
        <v>162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7.25" customHeight="1" x14ac:dyDescent="0.25">
      <c r="A3" s="73" t="s">
        <v>2</v>
      </c>
      <c r="B3" s="73" t="s">
        <v>163</v>
      </c>
      <c r="C3" s="73" t="s">
        <v>4</v>
      </c>
      <c r="D3" s="9" t="s">
        <v>164</v>
      </c>
      <c r="E3" s="9" t="s">
        <v>7</v>
      </c>
      <c r="F3" s="9" t="s">
        <v>165</v>
      </c>
      <c r="G3" s="74" t="s">
        <v>166</v>
      </c>
      <c r="H3" s="75" t="s">
        <v>8</v>
      </c>
      <c r="I3" s="76" t="s">
        <v>167</v>
      </c>
      <c r="J3" s="77"/>
      <c r="K3" s="76" t="s">
        <v>168</v>
      </c>
      <c r="L3" s="78"/>
      <c r="M3" s="78"/>
      <c r="N3" s="78"/>
      <c r="O3" s="78"/>
      <c r="P3" s="78"/>
      <c r="Q3" s="77"/>
    </row>
    <row r="4" spans="1:17" ht="33" customHeight="1" x14ac:dyDescent="0.25">
      <c r="A4" s="73"/>
      <c r="B4" s="73"/>
      <c r="C4" s="73"/>
      <c r="D4" s="9"/>
      <c r="E4" s="9"/>
      <c r="F4" s="9"/>
      <c r="G4" s="79"/>
      <c r="H4" s="80"/>
      <c r="I4" s="54" t="s">
        <v>9</v>
      </c>
      <c r="J4" s="54" t="s">
        <v>10</v>
      </c>
      <c r="K4" s="54" t="s">
        <v>11</v>
      </c>
      <c r="L4" s="54" t="s">
        <v>12</v>
      </c>
      <c r="M4" s="54" t="s">
        <v>13</v>
      </c>
      <c r="N4" s="54" t="s">
        <v>14</v>
      </c>
      <c r="O4" s="54" t="s">
        <v>15</v>
      </c>
      <c r="P4" s="54" t="s">
        <v>16</v>
      </c>
      <c r="Q4" s="81" t="s">
        <v>17</v>
      </c>
    </row>
    <row r="5" spans="1:17" ht="55.15" customHeight="1" x14ac:dyDescent="0.25">
      <c r="A5" s="82" t="s">
        <v>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56.25" customHeight="1" x14ac:dyDescent="0.25">
      <c r="A6" s="54">
        <v>1</v>
      </c>
      <c r="B6" s="12" t="s">
        <v>19</v>
      </c>
      <c r="C6" s="13" t="s">
        <v>20</v>
      </c>
      <c r="D6" s="85">
        <v>54.1</v>
      </c>
      <c r="E6" s="22">
        <v>2.34</v>
      </c>
      <c r="F6" s="17">
        <v>94</v>
      </c>
      <c r="G6" s="17">
        <v>94.5</v>
      </c>
      <c r="H6" s="17">
        <v>95</v>
      </c>
      <c r="I6" s="17">
        <v>95</v>
      </c>
      <c r="J6" s="17">
        <v>96</v>
      </c>
      <c r="K6" s="17">
        <v>96.2</v>
      </c>
      <c r="L6" s="17">
        <v>96.3</v>
      </c>
      <c r="M6" s="17">
        <v>96.4</v>
      </c>
      <c r="N6" s="17">
        <v>96.4</v>
      </c>
      <c r="O6" s="17">
        <v>96.5</v>
      </c>
      <c r="P6" s="17">
        <v>96.5</v>
      </c>
      <c r="Q6" s="17">
        <v>96.6</v>
      </c>
    </row>
    <row r="7" spans="1:17" ht="108" customHeight="1" x14ac:dyDescent="0.25">
      <c r="A7" s="14">
        <v>2</v>
      </c>
      <c r="B7" s="12" t="s">
        <v>24</v>
      </c>
      <c r="C7" s="13" t="s">
        <v>20</v>
      </c>
      <c r="D7" s="14" t="e">
        <f>#REF!</f>
        <v>#REF!</v>
      </c>
      <c r="E7" s="22">
        <v>60.5</v>
      </c>
      <c r="F7" s="20">
        <v>82.4</v>
      </c>
      <c r="G7" s="20">
        <v>86.6</v>
      </c>
      <c r="H7" s="20">
        <v>91.3</v>
      </c>
      <c r="I7" s="20">
        <v>100</v>
      </c>
      <c r="J7" s="20">
        <v>100</v>
      </c>
      <c r="K7" s="20">
        <v>100</v>
      </c>
      <c r="L7" s="20">
        <v>100</v>
      </c>
      <c r="M7" s="20">
        <v>100</v>
      </c>
      <c r="N7" s="20">
        <v>100</v>
      </c>
      <c r="O7" s="20">
        <v>100</v>
      </c>
      <c r="P7" s="20">
        <v>100</v>
      </c>
      <c r="Q7" s="20">
        <v>100</v>
      </c>
    </row>
    <row r="8" spans="1:17" ht="89.25" customHeight="1" x14ac:dyDescent="0.25">
      <c r="A8" s="54">
        <v>3</v>
      </c>
      <c r="B8" s="12" t="s">
        <v>27</v>
      </c>
      <c r="C8" s="14" t="s">
        <v>20</v>
      </c>
      <c r="D8" s="86">
        <v>95.6</v>
      </c>
      <c r="E8" s="86">
        <v>96.7</v>
      </c>
      <c r="F8" s="21">
        <v>98.53</v>
      </c>
      <c r="G8" s="21">
        <v>98.04</v>
      </c>
      <c r="H8" s="21">
        <v>98.53</v>
      </c>
      <c r="I8" s="21">
        <v>98.6</v>
      </c>
      <c r="J8" s="21">
        <v>98.6</v>
      </c>
      <c r="K8" s="21">
        <v>100</v>
      </c>
      <c r="L8" s="21">
        <v>100</v>
      </c>
      <c r="M8" s="21">
        <v>100</v>
      </c>
      <c r="N8" s="21">
        <v>100</v>
      </c>
      <c r="O8" s="21">
        <v>100</v>
      </c>
      <c r="P8" s="21">
        <v>100</v>
      </c>
      <c r="Q8" s="21">
        <v>100</v>
      </c>
    </row>
    <row r="9" spans="1:17" ht="85.5" customHeight="1" x14ac:dyDescent="0.25">
      <c r="A9" s="54">
        <v>4</v>
      </c>
      <c r="B9" s="12" t="s">
        <v>29</v>
      </c>
      <c r="C9" s="13" t="s">
        <v>169</v>
      </c>
      <c r="D9" s="86"/>
      <c r="E9" s="86"/>
      <c r="F9" s="23">
        <v>67</v>
      </c>
      <c r="G9" s="23">
        <v>67</v>
      </c>
      <c r="H9" s="23">
        <v>67</v>
      </c>
      <c r="I9" s="23">
        <v>83</v>
      </c>
      <c r="J9" s="23">
        <v>83</v>
      </c>
      <c r="K9" s="23">
        <v>83</v>
      </c>
      <c r="L9" s="23">
        <v>83</v>
      </c>
      <c r="M9" s="23">
        <v>83</v>
      </c>
      <c r="N9" s="23">
        <v>100</v>
      </c>
      <c r="O9" s="23">
        <v>100</v>
      </c>
      <c r="P9" s="23">
        <v>100</v>
      </c>
      <c r="Q9" s="23">
        <v>100</v>
      </c>
    </row>
    <row r="10" spans="1:17" ht="35.25" customHeight="1" x14ac:dyDescent="0.25">
      <c r="A10" s="87" t="s">
        <v>159</v>
      </c>
      <c r="B10" s="87"/>
      <c r="C10" s="87"/>
      <c r="D10" s="87"/>
      <c r="E10" s="87"/>
      <c r="F10" s="88"/>
      <c r="G10" s="26"/>
      <c r="H10" s="26"/>
      <c r="I10" s="26"/>
      <c r="J10" s="26"/>
      <c r="K10" s="26"/>
      <c r="L10" s="26"/>
      <c r="M10" s="89" t="s">
        <v>160</v>
      </c>
      <c r="N10" s="89"/>
      <c r="O10" s="89"/>
      <c r="P10" s="89"/>
      <c r="Q10" s="90"/>
    </row>
    <row r="15" spans="1:17" x14ac:dyDescent="0.25">
      <c r="D15" s="91"/>
      <c r="E15" s="91"/>
      <c r="F15" s="92"/>
      <c r="G15" s="91"/>
    </row>
    <row r="16" spans="1:17" x14ac:dyDescent="0.25">
      <c r="D16" s="93"/>
      <c r="E16" s="94"/>
      <c r="F16" s="95"/>
      <c r="G16" s="94"/>
    </row>
    <row r="17" spans="4:7" x14ac:dyDescent="0.25">
      <c r="D17" s="96"/>
      <c r="E17" s="96"/>
      <c r="F17" s="97"/>
      <c r="G17" s="96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6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70" zoomScaleNormal="70" workbookViewId="0">
      <selection activeCell="K40" sqref="K40"/>
    </sheetView>
  </sheetViews>
  <sheetFormatPr defaultColWidth="9.28515625" defaultRowHeight="15.75" x14ac:dyDescent="0.25"/>
  <cols>
    <col min="1" max="1" width="18.5703125" style="69" customWidth="1"/>
    <col min="2" max="2" width="22.28515625" style="69" customWidth="1"/>
    <col min="3" max="3" width="25.28515625" style="69" customWidth="1"/>
    <col min="4" max="7" width="9.28515625" style="69"/>
    <col min="8" max="8" width="13.7109375" style="69" customWidth="1"/>
    <col min="9" max="10" width="15.42578125" style="69" customWidth="1"/>
    <col min="11" max="11" width="15.42578125" style="4" customWidth="1"/>
    <col min="12" max="17" width="15.42578125" style="69" customWidth="1"/>
    <col min="18" max="18" width="17" style="69" customWidth="1"/>
    <col min="19" max="16384" width="9.28515625" style="69"/>
  </cols>
  <sheetData>
    <row r="1" spans="1:19" ht="58.5" customHeight="1" x14ac:dyDescent="0.25">
      <c r="J1" s="98"/>
      <c r="K1" s="99"/>
      <c r="L1" s="100"/>
      <c r="M1" s="101" t="s">
        <v>170</v>
      </c>
      <c r="N1" s="101"/>
      <c r="O1" s="101"/>
      <c r="P1" s="101"/>
      <c r="Q1" s="101"/>
      <c r="R1" s="101"/>
    </row>
    <row r="2" spans="1:19" ht="30" customHeight="1" x14ac:dyDescent="0.25">
      <c r="A2" s="102" t="s">
        <v>171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9" ht="18.75" customHeight="1" x14ac:dyDescent="0.25">
      <c r="A3" s="73" t="s">
        <v>172</v>
      </c>
      <c r="B3" s="73" t="s">
        <v>173</v>
      </c>
      <c r="C3" s="73" t="s">
        <v>174</v>
      </c>
      <c r="D3" s="73" t="s">
        <v>175</v>
      </c>
      <c r="E3" s="73"/>
      <c r="F3" s="73"/>
      <c r="G3" s="73"/>
      <c r="H3" s="103" t="s">
        <v>176</v>
      </c>
      <c r="I3" s="104"/>
      <c r="J3" s="104"/>
      <c r="K3" s="104"/>
      <c r="L3" s="104"/>
      <c r="M3" s="104"/>
      <c r="N3" s="104"/>
      <c r="O3" s="104"/>
      <c r="P3" s="104"/>
      <c r="Q3" s="104"/>
      <c r="R3" s="105"/>
    </row>
    <row r="4" spans="1:19" ht="49.5" customHeight="1" x14ac:dyDescent="0.25">
      <c r="A4" s="73"/>
      <c r="B4" s="73"/>
      <c r="C4" s="73"/>
      <c r="D4" s="54" t="s">
        <v>177</v>
      </c>
      <c r="E4" s="54" t="s">
        <v>178</v>
      </c>
      <c r="F4" s="54" t="s">
        <v>179</v>
      </c>
      <c r="G4" s="54" t="s">
        <v>180</v>
      </c>
      <c r="H4" s="54">
        <v>2014</v>
      </c>
      <c r="I4" s="54">
        <v>2015</v>
      </c>
      <c r="J4" s="54">
        <v>2016</v>
      </c>
      <c r="K4" s="14">
        <v>2017</v>
      </c>
      <c r="L4" s="54">
        <v>2018</v>
      </c>
      <c r="M4" s="14">
        <v>2019</v>
      </c>
      <c r="N4" s="14">
        <v>2020</v>
      </c>
      <c r="O4" s="14">
        <v>2021</v>
      </c>
      <c r="P4" s="14">
        <v>2022</v>
      </c>
      <c r="Q4" s="14">
        <v>2022</v>
      </c>
      <c r="R4" s="54" t="s">
        <v>181</v>
      </c>
    </row>
    <row r="5" spans="1:19" ht="48" customHeight="1" x14ac:dyDescent="0.25">
      <c r="A5" s="75" t="s">
        <v>182</v>
      </c>
      <c r="B5" s="106" t="s">
        <v>183</v>
      </c>
      <c r="C5" s="107" t="s">
        <v>184</v>
      </c>
      <c r="D5" s="81" t="s">
        <v>185</v>
      </c>
      <c r="E5" s="81" t="s">
        <v>185</v>
      </c>
      <c r="F5" s="81" t="s">
        <v>185</v>
      </c>
      <c r="G5" s="81" t="s">
        <v>185</v>
      </c>
      <c r="H5" s="108">
        <f t="shared" ref="H5:O5" si="0">H7+H8+H9+H10</f>
        <v>447829.6</v>
      </c>
      <c r="I5" s="108">
        <f t="shared" si="0"/>
        <v>473625.60000000003</v>
      </c>
      <c r="J5" s="109">
        <f t="shared" si="0"/>
        <v>511729.7</v>
      </c>
      <c r="K5" s="109">
        <f t="shared" si="0"/>
        <v>523227.99999999994</v>
      </c>
      <c r="L5" s="109">
        <f t="shared" si="0"/>
        <v>549349</v>
      </c>
      <c r="M5" s="108">
        <f t="shared" si="0"/>
        <v>614389.60000000009</v>
      </c>
      <c r="N5" s="108">
        <f t="shared" si="0"/>
        <v>635052.30000000005</v>
      </c>
      <c r="O5" s="108">
        <f t="shared" si="0"/>
        <v>714695.7</v>
      </c>
      <c r="P5" s="108">
        <f>P7+P8+P9+P10</f>
        <v>690411.20000000007</v>
      </c>
      <c r="Q5" s="108">
        <f>Q7+Q8+Q9+Q10</f>
        <v>682996.30000000016</v>
      </c>
      <c r="R5" s="108">
        <f>SUM(H5:Q5)</f>
        <v>5843307</v>
      </c>
    </row>
    <row r="6" spans="1:19" x14ac:dyDescent="0.25">
      <c r="A6" s="110"/>
      <c r="B6" s="111"/>
      <c r="C6" s="107" t="s">
        <v>186</v>
      </c>
      <c r="D6" s="112"/>
      <c r="E6" s="112"/>
      <c r="F6" s="112"/>
      <c r="G6" s="112"/>
      <c r="H6" s="112"/>
      <c r="I6" s="113"/>
      <c r="J6" s="113"/>
      <c r="K6" s="114"/>
      <c r="L6" s="114"/>
      <c r="M6" s="113"/>
      <c r="N6" s="113"/>
      <c r="O6" s="113"/>
      <c r="P6" s="108">
        <f>O6</f>
        <v>0</v>
      </c>
      <c r="Q6" s="108"/>
      <c r="R6" s="108">
        <f t="shared" ref="R6:R26" si="1">SUM(H6:Q6)</f>
        <v>0</v>
      </c>
    </row>
    <row r="7" spans="1:19" ht="51.75" customHeight="1" x14ac:dyDescent="0.25">
      <c r="A7" s="110"/>
      <c r="B7" s="111"/>
      <c r="C7" s="107" t="s">
        <v>187</v>
      </c>
      <c r="D7" s="115" t="s">
        <v>188</v>
      </c>
      <c r="E7" s="81" t="s">
        <v>185</v>
      </c>
      <c r="F7" s="81" t="s">
        <v>185</v>
      </c>
      <c r="G7" s="81" t="s">
        <v>185</v>
      </c>
      <c r="H7" s="116">
        <f t="shared" ref="H7:Q7" si="2">H13+H18+H21+H24</f>
        <v>426153.3</v>
      </c>
      <c r="I7" s="116">
        <f t="shared" si="2"/>
        <v>451251.20000000001</v>
      </c>
      <c r="J7" s="116">
        <f t="shared" si="2"/>
        <v>486929.2</v>
      </c>
      <c r="K7" s="117">
        <f t="shared" si="2"/>
        <v>498675.49999999994</v>
      </c>
      <c r="L7" s="117">
        <f t="shared" si="2"/>
        <v>523112</v>
      </c>
      <c r="M7" s="116">
        <f t="shared" si="2"/>
        <v>587737.9</v>
      </c>
      <c r="N7" s="116">
        <f>N13+N18+N21+N24</f>
        <v>601251.90000000014</v>
      </c>
      <c r="O7" s="116">
        <f t="shared" si="2"/>
        <v>688877.7</v>
      </c>
      <c r="P7" s="116">
        <f>P13+P18+P21+P24</f>
        <v>655251.30000000005</v>
      </c>
      <c r="Q7" s="116">
        <f t="shared" si="2"/>
        <v>654237.50000000012</v>
      </c>
      <c r="R7" s="108">
        <f t="shared" si="1"/>
        <v>5573477.5</v>
      </c>
      <c r="S7" s="118"/>
    </row>
    <row r="8" spans="1:19" ht="49.5" hidden="1" customHeight="1" x14ac:dyDescent="0.25">
      <c r="A8" s="110"/>
      <c r="B8" s="111"/>
      <c r="C8" s="119" t="s">
        <v>189</v>
      </c>
      <c r="D8" s="120" t="s">
        <v>190</v>
      </c>
      <c r="E8" s="81" t="s">
        <v>185</v>
      </c>
      <c r="F8" s="81" t="s">
        <v>185</v>
      </c>
      <c r="G8" s="81" t="s">
        <v>185</v>
      </c>
      <c r="H8" s="116"/>
      <c r="I8" s="116"/>
      <c r="J8" s="116"/>
      <c r="K8" s="117"/>
      <c r="L8" s="117"/>
      <c r="M8" s="116">
        <f>M17</f>
        <v>0</v>
      </c>
      <c r="N8" s="116"/>
      <c r="O8" s="116"/>
      <c r="P8" s="108">
        <f>O8</f>
        <v>0</v>
      </c>
      <c r="Q8" s="108"/>
      <c r="R8" s="108">
        <f t="shared" si="1"/>
        <v>0</v>
      </c>
    </row>
    <row r="9" spans="1:19" ht="39.950000000000003" customHeight="1" x14ac:dyDescent="0.25">
      <c r="A9" s="110"/>
      <c r="B9" s="111"/>
      <c r="C9" s="16" t="s">
        <v>107</v>
      </c>
      <c r="D9" s="115" t="s">
        <v>191</v>
      </c>
      <c r="E9" s="81" t="s">
        <v>185</v>
      </c>
      <c r="F9" s="81" t="s">
        <v>185</v>
      </c>
      <c r="G9" s="81" t="s">
        <v>185</v>
      </c>
      <c r="H9" s="116">
        <f t="shared" ref="H9:N9" si="3">H26</f>
        <v>14153.1</v>
      </c>
      <c r="I9" s="116">
        <f t="shared" si="3"/>
        <v>14936.4</v>
      </c>
      <c r="J9" s="116">
        <f t="shared" si="3"/>
        <v>15316.7</v>
      </c>
      <c r="K9" s="117">
        <f t="shared" si="3"/>
        <v>15372.5</v>
      </c>
      <c r="L9" s="117">
        <f t="shared" si="3"/>
        <v>15995.1</v>
      </c>
      <c r="M9" s="116">
        <f t="shared" si="3"/>
        <v>16743.8</v>
      </c>
      <c r="N9" s="116">
        <f t="shared" si="3"/>
        <v>18520.7</v>
      </c>
      <c r="O9" s="116">
        <f>O26</f>
        <v>21077</v>
      </c>
      <c r="P9" s="116">
        <f>P26</f>
        <v>19949.900000000001</v>
      </c>
      <c r="Q9" s="116">
        <f>Q26</f>
        <v>19949.900000000001</v>
      </c>
      <c r="R9" s="108">
        <f t="shared" si="1"/>
        <v>172015.09999999998</v>
      </c>
    </row>
    <row r="10" spans="1:19" ht="39.950000000000003" customHeight="1" x14ac:dyDescent="0.25">
      <c r="A10" s="80"/>
      <c r="B10" s="121"/>
      <c r="C10" s="16" t="s">
        <v>189</v>
      </c>
      <c r="D10" s="115" t="s">
        <v>190</v>
      </c>
      <c r="E10" s="81" t="s">
        <v>185</v>
      </c>
      <c r="F10" s="81" t="s">
        <v>185</v>
      </c>
      <c r="G10" s="81" t="s">
        <v>185</v>
      </c>
      <c r="H10" s="116">
        <f t="shared" ref="H10:N10" si="4">H25</f>
        <v>7523.2</v>
      </c>
      <c r="I10" s="116">
        <f t="shared" si="4"/>
        <v>7438</v>
      </c>
      <c r="J10" s="116">
        <f t="shared" si="4"/>
        <v>9483.7999999999993</v>
      </c>
      <c r="K10" s="117">
        <f t="shared" si="4"/>
        <v>9180</v>
      </c>
      <c r="L10" s="117">
        <f t="shared" si="4"/>
        <v>10241.9</v>
      </c>
      <c r="M10" s="116">
        <f t="shared" si="4"/>
        <v>9907.9</v>
      </c>
      <c r="N10" s="116">
        <f t="shared" si="4"/>
        <v>15279.7</v>
      </c>
      <c r="O10" s="116">
        <f>O25</f>
        <v>4741</v>
      </c>
      <c r="P10" s="116">
        <f>P25</f>
        <v>15210</v>
      </c>
      <c r="Q10" s="116">
        <f>Q25</f>
        <v>8808.9</v>
      </c>
      <c r="R10" s="108">
        <f t="shared" si="1"/>
        <v>97814.399999999994</v>
      </c>
    </row>
    <row r="11" spans="1:19" ht="46.5" customHeight="1" x14ac:dyDescent="0.25">
      <c r="A11" s="122" t="s">
        <v>192</v>
      </c>
      <c r="B11" s="122" t="s">
        <v>193</v>
      </c>
      <c r="C11" s="16" t="s">
        <v>184</v>
      </c>
      <c r="D11" s="13" t="s">
        <v>185</v>
      </c>
      <c r="E11" s="11" t="s">
        <v>185</v>
      </c>
      <c r="F11" s="13" t="s">
        <v>185</v>
      </c>
      <c r="G11" s="20" t="s">
        <v>185</v>
      </c>
      <c r="H11" s="116">
        <f t="shared" ref="H11:P11" si="5">H13+H14</f>
        <v>198091.6</v>
      </c>
      <c r="I11" s="116">
        <f t="shared" si="5"/>
        <v>204824.6</v>
      </c>
      <c r="J11" s="116">
        <f t="shared" si="5"/>
        <v>219030.5</v>
      </c>
      <c r="K11" s="117">
        <f t="shared" si="5"/>
        <v>218633.1</v>
      </c>
      <c r="L11" s="117">
        <f t="shared" si="5"/>
        <v>229336.9</v>
      </c>
      <c r="M11" s="116">
        <f t="shared" si="5"/>
        <v>267495.40000000002</v>
      </c>
      <c r="N11" s="116">
        <f>N13+N14</f>
        <v>275550.40000000002</v>
      </c>
      <c r="O11" s="116">
        <f>O13+O14</f>
        <v>312164</v>
      </c>
      <c r="P11" s="116">
        <f t="shared" si="5"/>
        <v>295018</v>
      </c>
      <c r="Q11" s="108">
        <f>P11</f>
        <v>295018</v>
      </c>
      <c r="R11" s="108">
        <f t="shared" si="1"/>
        <v>2515162.5</v>
      </c>
    </row>
    <row r="12" spans="1:19" x14ac:dyDescent="0.25">
      <c r="A12" s="122"/>
      <c r="B12" s="122"/>
      <c r="C12" s="16" t="s">
        <v>186</v>
      </c>
      <c r="D12" s="123"/>
      <c r="E12" s="124"/>
      <c r="F12" s="123"/>
      <c r="G12" s="125"/>
      <c r="H12" s="125"/>
      <c r="I12" s="116"/>
      <c r="J12" s="116"/>
      <c r="K12" s="117"/>
      <c r="L12" s="117"/>
      <c r="M12" s="116"/>
      <c r="N12" s="116"/>
      <c r="O12" s="116"/>
      <c r="P12" s="108">
        <f>O12</f>
        <v>0</v>
      </c>
      <c r="Q12" s="108"/>
      <c r="R12" s="108">
        <f t="shared" si="1"/>
        <v>0</v>
      </c>
    </row>
    <row r="13" spans="1:19" ht="55.5" customHeight="1" x14ac:dyDescent="0.25">
      <c r="A13" s="122"/>
      <c r="B13" s="122"/>
      <c r="C13" s="107" t="s">
        <v>187</v>
      </c>
      <c r="D13" s="11" t="s">
        <v>188</v>
      </c>
      <c r="E13" s="11" t="s">
        <v>185</v>
      </c>
      <c r="F13" s="13" t="s">
        <v>185</v>
      </c>
      <c r="G13" s="20" t="s">
        <v>185</v>
      </c>
      <c r="H13" s="116">
        <v>198091.6</v>
      </c>
      <c r="I13" s="116">
        <v>204824.6</v>
      </c>
      <c r="J13" s="116">
        <v>219030.5</v>
      </c>
      <c r="K13" s="117">
        <v>218633.1</v>
      </c>
      <c r="L13" s="117">
        <v>229336.9</v>
      </c>
      <c r="M13" s="116">
        <v>267495.40000000002</v>
      </c>
      <c r="N13" s="116">
        <v>275550.40000000002</v>
      </c>
      <c r="O13" s="116">
        <v>312164</v>
      </c>
      <c r="P13" s="108">
        <v>295018</v>
      </c>
      <c r="Q13" s="108">
        <f>P13</f>
        <v>295018</v>
      </c>
      <c r="R13" s="108">
        <f t="shared" si="1"/>
        <v>2515162.5</v>
      </c>
    </row>
    <row r="14" spans="1:19" ht="63" x14ac:dyDescent="0.25">
      <c r="A14" s="122"/>
      <c r="B14" s="122"/>
      <c r="C14" s="107" t="s">
        <v>194</v>
      </c>
      <c r="D14" s="11" t="s">
        <v>195</v>
      </c>
      <c r="E14" s="11" t="s">
        <v>185</v>
      </c>
      <c r="F14" s="13" t="s">
        <v>185</v>
      </c>
      <c r="G14" s="20" t="s">
        <v>185</v>
      </c>
      <c r="H14" s="116"/>
      <c r="I14" s="116"/>
      <c r="J14" s="116">
        <v>0</v>
      </c>
      <c r="K14" s="117"/>
      <c r="L14" s="117"/>
      <c r="M14" s="116"/>
      <c r="N14" s="116"/>
      <c r="O14" s="116"/>
      <c r="P14" s="108"/>
      <c r="Q14" s="108"/>
      <c r="R14" s="108">
        <f t="shared" si="1"/>
        <v>0</v>
      </c>
    </row>
    <row r="15" spans="1:19" ht="47.25" x14ac:dyDescent="0.25">
      <c r="A15" s="74" t="s">
        <v>196</v>
      </c>
      <c r="B15" s="126" t="s">
        <v>197</v>
      </c>
      <c r="C15" s="16" t="s">
        <v>184</v>
      </c>
      <c r="D15" s="13" t="s">
        <v>185</v>
      </c>
      <c r="E15" s="11" t="s">
        <v>185</v>
      </c>
      <c r="F15" s="13" t="s">
        <v>185</v>
      </c>
      <c r="G15" s="20" t="s">
        <v>185</v>
      </c>
      <c r="H15" s="116">
        <f t="shared" ref="H15:O15" si="6">H18</f>
        <v>214621.9</v>
      </c>
      <c r="I15" s="116">
        <f t="shared" si="6"/>
        <v>231479.1</v>
      </c>
      <c r="J15" s="116">
        <f t="shared" si="6"/>
        <v>252889.60000000001</v>
      </c>
      <c r="K15" s="117">
        <f t="shared" si="6"/>
        <v>262736.59999999998</v>
      </c>
      <c r="L15" s="117">
        <f t="shared" si="6"/>
        <v>275850</v>
      </c>
      <c r="M15" s="116">
        <f>M17+M18</f>
        <v>294091.2</v>
      </c>
      <c r="N15" s="116">
        <f t="shared" si="6"/>
        <v>299894.2</v>
      </c>
      <c r="O15" s="116">
        <f t="shared" si="6"/>
        <v>338334.8</v>
      </c>
      <c r="P15" s="108">
        <f>P18</f>
        <v>320023.09999999998</v>
      </c>
      <c r="Q15" s="108">
        <f>Q18</f>
        <v>323572.3</v>
      </c>
      <c r="R15" s="108">
        <f t="shared" si="1"/>
        <v>2813492.8</v>
      </c>
    </row>
    <row r="16" spans="1:19" x14ac:dyDescent="0.25">
      <c r="A16" s="127"/>
      <c r="B16" s="128"/>
      <c r="C16" s="16" t="s">
        <v>186</v>
      </c>
      <c r="D16" s="123"/>
      <c r="E16" s="124"/>
      <c r="F16" s="123"/>
      <c r="G16" s="125"/>
      <c r="H16" s="116"/>
      <c r="I16" s="116"/>
      <c r="J16" s="116"/>
      <c r="K16" s="117"/>
      <c r="L16" s="117"/>
      <c r="M16" s="116"/>
      <c r="N16" s="116"/>
      <c r="O16" s="116"/>
      <c r="P16" s="108"/>
      <c r="Q16" s="108"/>
      <c r="R16" s="108"/>
    </row>
    <row r="17" spans="1:18" ht="31.5" hidden="1" x14ac:dyDescent="0.25">
      <c r="A17" s="127"/>
      <c r="B17" s="128"/>
      <c r="C17" s="119" t="s">
        <v>189</v>
      </c>
      <c r="D17" s="120" t="s">
        <v>190</v>
      </c>
      <c r="E17" s="81" t="s">
        <v>185</v>
      </c>
      <c r="F17" s="81" t="s">
        <v>185</v>
      </c>
      <c r="G17" s="81" t="s">
        <v>185</v>
      </c>
      <c r="H17" s="116"/>
      <c r="I17" s="116"/>
      <c r="J17" s="116"/>
      <c r="K17" s="117"/>
      <c r="L17" s="117"/>
      <c r="M17" s="116">
        <v>0</v>
      </c>
      <c r="N17" s="116"/>
      <c r="O17" s="116">
        <f>'[2]Прил №2 к МП'!$K$11</f>
        <v>312164</v>
      </c>
      <c r="P17" s="108">
        <f>O17</f>
        <v>312164</v>
      </c>
      <c r="Q17" s="108"/>
      <c r="R17" s="108">
        <f t="shared" si="1"/>
        <v>624328</v>
      </c>
    </row>
    <row r="18" spans="1:18" ht="50.25" customHeight="1" x14ac:dyDescent="0.25">
      <c r="A18" s="127"/>
      <c r="B18" s="129"/>
      <c r="C18" s="107" t="s">
        <v>187</v>
      </c>
      <c r="D18" s="68">
        <v>975</v>
      </c>
      <c r="E18" s="11" t="s">
        <v>185</v>
      </c>
      <c r="F18" s="13" t="s">
        <v>185</v>
      </c>
      <c r="G18" s="20" t="s">
        <v>185</v>
      </c>
      <c r="H18" s="130">
        <v>214621.9</v>
      </c>
      <c r="I18" s="116">
        <v>231479.1</v>
      </c>
      <c r="J18" s="116">
        <v>252889.60000000001</v>
      </c>
      <c r="K18" s="117">
        <v>262736.59999999998</v>
      </c>
      <c r="L18" s="117">
        <v>275850</v>
      </c>
      <c r="M18" s="116">
        <v>294091.2</v>
      </c>
      <c r="N18" s="116">
        <v>299894.2</v>
      </c>
      <c r="O18" s="116">
        <v>338334.8</v>
      </c>
      <c r="P18" s="108">
        <v>320023.09999999998</v>
      </c>
      <c r="Q18" s="108">
        <v>323572.3</v>
      </c>
      <c r="R18" s="108">
        <f t="shared" si="1"/>
        <v>2813492.8</v>
      </c>
    </row>
    <row r="19" spans="1:18" ht="47.25" customHeight="1" x14ac:dyDescent="0.25">
      <c r="A19" s="74" t="s">
        <v>198</v>
      </c>
      <c r="B19" s="126" t="s">
        <v>199</v>
      </c>
      <c r="C19" s="16" t="s">
        <v>184</v>
      </c>
      <c r="D19" s="11" t="s">
        <v>188</v>
      </c>
      <c r="E19" s="11" t="s">
        <v>185</v>
      </c>
      <c r="F19" s="13" t="s">
        <v>185</v>
      </c>
      <c r="G19" s="20" t="s">
        <v>185</v>
      </c>
      <c r="H19" s="116">
        <f t="shared" ref="H19:N19" si="7">H21</f>
        <v>6990.7</v>
      </c>
      <c r="I19" s="116">
        <f t="shared" si="7"/>
        <v>7764.9</v>
      </c>
      <c r="J19" s="116">
        <f t="shared" si="7"/>
        <v>7414.4</v>
      </c>
      <c r="K19" s="117">
        <f t="shared" si="7"/>
        <v>8058.3</v>
      </c>
      <c r="L19" s="117">
        <f t="shared" si="7"/>
        <v>7980.8</v>
      </c>
      <c r="M19" s="116">
        <f t="shared" si="7"/>
        <v>8394.1</v>
      </c>
      <c r="N19" s="116">
        <f t="shared" si="7"/>
        <v>0</v>
      </c>
      <c r="O19" s="116">
        <f>O21</f>
        <v>9578.2000000000007</v>
      </c>
      <c r="P19" s="116">
        <f>P21</f>
        <v>7114.9</v>
      </c>
      <c r="Q19" s="116">
        <f>Q21</f>
        <v>7114.9</v>
      </c>
      <c r="R19" s="108">
        <f t="shared" si="1"/>
        <v>70411.199999999997</v>
      </c>
    </row>
    <row r="20" spans="1:18" x14ac:dyDescent="0.25">
      <c r="A20" s="127"/>
      <c r="B20" s="128"/>
      <c r="C20" s="16" t="s">
        <v>186</v>
      </c>
      <c r="D20" s="123"/>
      <c r="E20" s="124"/>
      <c r="F20" s="123"/>
      <c r="G20" s="125"/>
      <c r="H20" s="116"/>
      <c r="I20" s="116"/>
      <c r="J20" s="116"/>
      <c r="K20" s="117"/>
      <c r="L20" s="117"/>
      <c r="M20" s="116"/>
      <c r="N20" s="116"/>
      <c r="O20" s="116"/>
      <c r="P20" s="108">
        <f>O20</f>
        <v>0</v>
      </c>
      <c r="Q20" s="108"/>
      <c r="R20" s="108">
        <f t="shared" si="1"/>
        <v>0</v>
      </c>
    </row>
    <row r="21" spans="1:18" ht="55.5" customHeight="1" x14ac:dyDescent="0.25">
      <c r="A21" s="127"/>
      <c r="B21" s="129"/>
      <c r="C21" s="107" t="s">
        <v>187</v>
      </c>
      <c r="D21" s="131">
        <v>975</v>
      </c>
      <c r="E21" s="132" t="s">
        <v>185</v>
      </c>
      <c r="F21" s="131" t="s">
        <v>185</v>
      </c>
      <c r="G21" s="133" t="s">
        <v>185</v>
      </c>
      <c r="H21" s="116">
        <v>6990.7</v>
      </c>
      <c r="I21" s="116">
        <v>7764.9</v>
      </c>
      <c r="J21" s="116">
        <v>7414.4</v>
      </c>
      <c r="K21" s="117">
        <v>8058.3</v>
      </c>
      <c r="L21" s="117">
        <v>7980.8</v>
      </c>
      <c r="M21" s="116">
        <v>8394.1</v>
      </c>
      <c r="N21" s="116"/>
      <c r="O21" s="116">
        <v>9578.2000000000007</v>
      </c>
      <c r="P21" s="116">
        <v>7114.9</v>
      </c>
      <c r="Q21" s="116">
        <f>P21</f>
        <v>7114.9</v>
      </c>
      <c r="R21" s="108">
        <f t="shared" si="1"/>
        <v>70411.199999999997</v>
      </c>
    </row>
    <row r="22" spans="1:18" ht="47.25" customHeight="1" x14ac:dyDescent="0.25">
      <c r="A22" s="9" t="s">
        <v>200</v>
      </c>
      <c r="B22" s="126" t="s">
        <v>201</v>
      </c>
      <c r="C22" s="16" t="s">
        <v>184</v>
      </c>
      <c r="D22" s="13"/>
      <c r="E22" s="11"/>
      <c r="F22" s="13"/>
      <c r="G22" s="20"/>
      <c r="H22" s="116">
        <f t="shared" ref="H22:M22" si="8">H24+H25+H26</f>
        <v>28125.4</v>
      </c>
      <c r="I22" s="116">
        <f t="shared" si="8"/>
        <v>29557</v>
      </c>
      <c r="J22" s="116">
        <f t="shared" si="8"/>
        <v>32395.200000000001</v>
      </c>
      <c r="K22" s="117">
        <f>K24+K25+K26</f>
        <v>33800</v>
      </c>
      <c r="L22" s="117">
        <f>L24+L25+L26</f>
        <v>36181.299999999996</v>
      </c>
      <c r="M22" s="116">
        <f t="shared" si="8"/>
        <v>44408.899999999994</v>
      </c>
      <c r="N22" s="116">
        <f>N24+N25+N26</f>
        <v>59607.7</v>
      </c>
      <c r="O22" s="116">
        <f>O24+O25+O26</f>
        <v>54618.7</v>
      </c>
      <c r="P22" s="108">
        <f>P24+P25+P26</f>
        <v>68255.199999999997</v>
      </c>
      <c r="Q22" s="108">
        <f>Q24+Q25+Q26</f>
        <v>57291.1</v>
      </c>
      <c r="R22" s="108">
        <f t="shared" si="1"/>
        <v>444240.5</v>
      </c>
    </row>
    <row r="23" spans="1:18" x14ac:dyDescent="0.25">
      <c r="A23" s="9"/>
      <c r="B23" s="128"/>
      <c r="C23" s="16" t="s">
        <v>186</v>
      </c>
      <c r="D23" s="123"/>
      <c r="E23" s="124"/>
      <c r="F23" s="123"/>
      <c r="G23" s="125"/>
      <c r="H23" s="116"/>
      <c r="I23" s="116"/>
      <c r="J23" s="116"/>
      <c r="K23" s="117"/>
      <c r="L23" s="117"/>
      <c r="M23" s="116"/>
      <c r="N23" s="116"/>
      <c r="O23" s="116"/>
      <c r="P23" s="108">
        <f>O23</f>
        <v>0</v>
      </c>
      <c r="Q23" s="108"/>
      <c r="R23" s="108">
        <f t="shared" si="1"/>
        <v>0</v>
      </c>
    </row>
    <row r="24" spans="1:18" ht="48.75" customHeight="1" x14ac:dyDescent="0.25">
      <c r="A24" s="9"/>
      <c r="B24" s="128"/>
      <c r="C24" s="107" t="s">
        <v>187</v>
      </c>
      <c r="D24" s="11" t="s">
        <v>188</v>
      </c>
      <c r="E24" s="11" t="s">
        <v>185</v>
      </c>
      <c r="F24" s="13"/>
      <c r="G24" s="20"/>
      <c r="H24" s="116">
        <v>6449.1</v>
      </c>
      <c r="I24" s="116">
        <v>7182.6</v>
      </c>
      <c r="J24" s="116">
        <v>7594.7</v>
      </c>
      <c r="K24" s="117">
        <v>9247.5</v>
      </c>
      <c r="L24" s="117">
        <v>9944.2999999999993</v>
      </c>
      <c r="M24" s="116">
        <f>44408.9-M25-M26</f>
        <v>17757.2</v>
      </c>
      <c r="N24" s="116">
        <v>25807.3</v>
      </c>
      <c r="O24" s="116">
        <f>54618.7-O25-O26</f>
        <v>28800.699999999997</v>
      </c>
      <c r="P24" s="108">
        <f>68255.2-P25-P26</f>
        <v>33095.299999999996</v>
      </c>
      <c r="Q24" s="108">
        <f>57291.1-Q25-Q26</f>
        <v>28532.299999999996</v>
      </c>
      <c r="R24" s="108">
        <f t="shared" si="1"/>
        <v>174410.99999999997</v>
      </c>
    </row>
    <row r="25" spans="1:18" ht="39" customHeight="1" x14ac:dyDescent="0.25">
      <c r="A25" s="9"/>
      <c r="B25" s="128"/>
      <c r="C25" s="16" t="s">
        <v>189</v>
      </c>
      <c r="D25" s="13">
        <v>906</v>
      </c>
      <c r="E25" s="11" t="s">
        <v>185</v>
      </c>
      <c r="F25" s="13"/>
      <c r="G25" s="13"/>
      <c r="H25" s="117">
        <v>7523.2</v>
      </c>
      <c r="I25" s="117">
        <f>3247.3+4190.7</f>
        <v>7438</v>
      </c>
      <c r="J25" s="117">
        <f>9009.9+473.9</f>
        <v>9483.7999999999993</v>
      </c>
      <c r="K25" s="117">
        <f>8415+765</f>
        <v>9180</v>
      </c>
      <c r="L25" s="117">
        <v>10241.9</v>
      </c>
      <c r="M25" s="116">
        <v>9907.9</v>
      </c>
      <c r="N25" s="116">
        <v>15279.7</v>
      </c>
      <c r="O25" s="116">
        <v>4741</v>
      </c>
      <c r="P25" s="108">
        <v>15210</v>
      </c>
      <c r="Q25" s="108">
        <v>8808.9</v>
      </c>
      <c r="R25" s="108">
        <f t="shared" si="1"/>
        <v>97814.399999999994</v>
      </c>
    </row>
    <row r="26" spans="1:18" ht="30" customHeight="1" x14ac:dyDescent="0.25">
      <c r="A26" s="9"/>
      <c r="B26" s="129"/>
      <c r="C26" s="16" t="s">
        <v>107</v>
      </c>
      <c r="D26" s="131">
        <v>976</v>
      </c>
      <c r="E26" s="132" t="s">
        <v>185</v>
      </c>
      <c r="F26" s="123"/>
      <c r="G26" s="123"/>
      <c r="H26" s="116">
        <v>14153.1</v>
      </c>
      <c r="I26" s="116">
        <v>14936.4</v>
      </c>
      <c r="J26" s="117">
        <v>15316.7</v>
      </c>
      <c r="K26" s="117">
        <v>15372.5</v>
      </c>
      <c r="L26" s="117">
        <v>15995.1</v>
      </c>
      <c r="M26" s="116">
        <v>16743.8</v>
      </c>
      <c r="N26" s="116">
        <v>18520.7</v>
      </c>
      <c r="O26" s="116">
        <v>21077</v>
      </c>
      <c r="P26" s="108">
        <v>19949.900000000001</v>
      </c>
      <c r="Q26" s="108">
        <f>P26</f>
        <v>19949.900000000001</v>
      </c>
      <c r="R26" s="108">
        <f t="shared" si="1"/>
        <v>172015.09999999998</v>
      </c>
    </row>
    <row r="27" spans="1:18" x14ac:dyDescent="0.25">
      <c r="I27" s="134"/>
      <c r="J27" s="134"/>
      <c r="K27" s="135"/>
      <c r="L27" s="134"/>
      <c r="M27" s="134"/>
      <c r="N27" s="134"/>
      <c r="O27" s="134"/>
      <c r="P27" s="134"/>
      <c r="Q27" s="134"/>
    </row>
    <row r="28" spans="1:18" ht="18.75" customHeight="1" x14ac:dyDescent="0.25">
      <c r="A28" s="69" t="s">
        <v>159</v>
      </c>
      <c r="R28" s="69" t="s">
        <v>160</v>
      </c>
    </row>
    <row r="29" spans="1:18" x14ac:dyDescent="0.25">
      <c r="K29" s="136"/>
      <c r="L29" s="136"/>
      <c r="M29" s="136"/>
      <c r="N29" s="136"/>
      <c r="O29" s="136"/>
      <c r="P29" s="136"/>
      <c r="Q29" s="136"/>
      <c r="R29" s="136"/>
    </row>
    <row r="31" spans="1:18" x14ac:dyDescent="0.25">
      <c r="L31" s="137"/>
    </row>
    <row r="32" spans="1:18" x14ac:dyDescent="0.25">
      <c r="L32" s="137"/>
    </row>
    <row r="33" spans="12:18" x14ac:dyDescent="0.25">
      <c r="R33" s="134"/>
    </row>
    <row r="34" spans="12:18" x14ac:dyDescent="0.25">
      <c r="L34" s="137"/>
      <c r="R34" s="134"/>
    </row>
    <row r="36" spans="12:18" x14ac:dyDescent="0.25">
      <c r="R36" s="134"/>
    </row>
    <row r="37" spans="12:18" x14ac:dyDescent="0.25">
      <c r="R37" s="134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R1"/>
    <mergeCell ref="A2:R2"/>
    <mergeCell ref="A3:A4"/>
    <mergeCell ref="B3:B4"/>
    <mergeCell ref="C3:C4"/>
    <mergeCell ref="D3:G3"/>
    <mergeCell ref="H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C138"/>
  <sheetViews>
    <sheetView view="pageBreakPreview" topLeftCell="A5" zoomScaleNormal="100" zoomScaleSheetLayoutView="100" workbookViewId="0">
      <selection activeCell="K21" sqref="K21"/>
    </sheetView>
  </sheetViews>
  <sheetFormatPr defaultColWidth="9.28515625" defaultRowHeight="15" x14ac:dyDescent="0.2"/>
  <cols>
    <col min="1" max="1" width="18.42578125" style="138" customWidth="1"/>
    <col min="2" max="2" width="24.85546875" style="138" customWidth="1"/>
    <col min="3" max="3" width="30.140625" style="138" customWidth="1"/>
    <col min="4" max="4" width="13.42578125" style="138" customWidth="1"/>
    <col min="5" max="10" width="16" style="138" customWidth="1"/>
    <col min="11" max="14" width="16" style="139" customWidth="1"/>
    <col min="15" max="16384" width="9.28515625" style="138"/>
  </cols>
  <sheetData>
    <row r="1" spans="1:29" ht="72" customHeight="1" x14ac:dyDescent="0.25">
      <c r="L1" s="140" t="s">
        <v>202</v>
      </c>
      <c r="M1" s="140"/>
      <c r="N1" s="140"/>
      <c r="O1" s="140"/>
      <c r="P1" s="140"/>
      <c r="Q1" s="140"/>
      <c r="R1" s="4"/>
      <c r="S1" s="4"/>
      <c r="U1" s="141"/>
      <c r="V1" s="141"/>
      <c r="W1" s="141"/>
      <c r="X1" s="140" t="s">
        <v>202</v>
      </c>
      <c r="Y1" s="140"/>
      <c r="Z1" s="140"/>
      <c r="AA1" s="140"/>
      <c r="AB1" s="140"/>
      <c r="AC1" s="140"/>
    </row>
    <row r="2" spans="1:29" ht="55.5" customHeight="1" x14ac:dyDescent="0.2">
      <c r="A2" s="142" t="s">
        <v>203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29" ht="33.75" customHeight="1" x14ac:dyDescent="0.2">
      <c r="A3" s="9" t="s">
        <v>204</v>
      </c>
      <c r="B3" s="122" t="s">
        <v>205</v>
      </c>
      <c r="C3" s="143" t="s">
        <v>206</v>
      </c>
      <c r="D3" s="144" t="s">
        <v>207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29" ht="36" customHeight="1" x14ac:dyDescent="0.2">
      <c r="A4" s="9"/>
      <c r="B4" s="122"/>
      <c r="C4" s="145"/>
      <c r="D4" s="146" t="s">
        <v>8</v>
      </c>
      <c r="E4" s="146" t="s">
        <v>9</v>
      </c>
      <c r="F4" s="146" t="s">
        <v>10</v>
      </c>
      <c r="G4" s="147" t="s">
        <v>11</v>
      </c>
      <c r="H4" s="146" t="s">
        <v>12</v>
      </c>
      <c r="I4" s="146" t="s">
        <v>13</v>
      </c>
      <c r="J4" s="146" t="s">
        <v>14</v>
      </c>
      <c r="K4" s="146" t="s">
        <v>15</v>
      </c>
      <c r="L4" s="146" t="s">
        <v>16</v>
      </c>
      <c r="M4" s="146" t="s">
        <v>17</v>
      </c>
      <c r="N4" s="146" t="s">
        <v>181</v>
      </c>
    </row>
    <row r="5" spans="1:29" ht="15.75" customHeight="1" x14ac:dyDescent="0.2">
      <c r="A5" s="74" t="s">
        <v>182</v>
      </c>
      <c r="B5" s="126" t="s">
        <v>183</v>
      </c>
      <c r="C5" s="148" t="s">
        <v>208</v>
      </c>
      <c r="D5" s="149">
        <f t="shared" ref="D5:I5" si="0">D8+D9+D10</f>
        <v>447829.60000000003</v>
      </c>
      <c r="E5" s="149">
        <f t="shared" si="0"/>
        <v>473625.59999999998</v>
      </c>
      <c r="F5" s="149">
        <f t="shared" si="0"/>
        <v>511729.69999999995</v>
      </c>
      <c r="G5" s="150">
        <f t="shared" si="0"/>
        <v>523228.00000000006</v>
      </c>
      <c r="H5" s="150">
        <f>H8+H9+H10</f>
        <v>549349</v>
      </c>
      <c r="I5" s="149">
        <f t="shared" si="0"/>
        <v>614389.6</v>
      </c>
      <c r="J5" s="149">
        <f>J8+J9+J10+J7</f>
        <v>635052.30000000005</v>
      </c>
      <c r="K5" s="149">
        <f>K8+K9+K10+K7</f>
        <v>714695.70000000007</v>
      </c>
      <c r="L5" s="149">
        <f>L8+L9+L10+L7</f>
        <v>690411.20000000007</v>
      </c>
      <c r="M5" s="149">
        <f>M8+M9+M10+M7</f>
        <v>682996.30000000016</v>
      </c>
      <c r="N5" s="149">
        <f>N8+N9+N10+N7</f>
        <v>5843307.0000000009</v>
      </c>
    </row>
    <row r="6" spans="1:29" ht="15.75" x14ac:dyDescent="0.2">
      <c r="A6" s="127"/>
      <c r="B6" s="128"/>
      <c r="C6" s="151" t="s">
        <v>209</v>
      </c>
      <c r="D6" s="152"/>
      <c r="E6" s="153"/>
      <c r="F6" s="153"/>
      <c r="G6" s="154"/>
      <c r="H6" s="154"/>
      <c r="I6" s="153"/>
      <c r="J6" s="153"/>
      <c r="K6" s="153"/>
      <c r="L6" s="149"/>
      <c r="M6" s="149"/>
      <c r="N6" s="149"/>
    </row>
    <row r="7" spans="1:29" ht="15.75" x14ac:dyDescent="0.2">
      <c r="A7" s="127"/>
      <c r="B7" s="128"/>
      <c r="C7" s="155" t="s">
        <v>210</v>
      </c>
      <c r="D7" s="152"/>
      <c r="E7" s="153"/>
      <c r="F7" s="153"/>
      <c r="G7" s="154"/>
      <c r="H7" s="154"/>
      <c r="I7" s="153"/>
      <c r="J7" s="153">
        <f>J18</f>
        <v>12598.599999999999</v>
      </c>
      <c r="K7" s="153">
        <f>K18+K29</f>
        <v>34204.799999999996</v>
      </c>
      <c r="L7" s="153">
        <f>L18+L29</f>
        <v>40788.9</v>
      </c>
      <c r="M7" s="153">
        <f>M18+M29</f>
        <v>38132.400000000001</v>
      </c>
      <c r="N7" s="153">
        <f>N18+N29</f>
        <v>125724.70000000001</v>
      </c>
    </row>
    <row r="8" spans="1:29" ht="15.75" customHeight="1" x14ac:dyDescent="0.2">
      <c r="A8" s="127"/>
      <c r="B8" s="128"/>
      <c r="C8" s="155" t="s">
        <v>211</v>
      </c>
      <c r="D8" s="149">
        <f t="shared" ref="D8:M10" si="1">D13+D19+D24+D30</f>
        <v>215148.1</v>
      </c>
      <c r="E8" s="149">
        <f t="shared" si="1"/>
        <v>208367.5</v>
      </c>
      <c r="F8" s="149">
        <f t="shared" si="1"/>
        <v>280623.8</v>
      </c>
      <c r="G8" s="150">
        <f t="shared" si="1"/>
        <v>301525.8</v>
      </c>
      <c r="H8" s="150">
        <f t="shared" si="1"/>
        <v>326259.80000000005</v>
      </c>
      <c r="I8" s="149">
        <f t="shared" si="1"/>
        <v>354583.9</v>
      </c>
      <c r="J8" s="149">
        <f t="shared" si="1"/>
        <v>389409.10000000003</v>
      </c>
      <c r="K8" s="149">
        <f t="shared" si="1"/>
        <v>392281.60000000003</v>
      </c>
      <c r="L8" s="149">
        <f t="shared" si="1"/>
        <v>387064.60000000003</v>
      </c>
      <c r="M8" s="149">
        <f t="shared" si="1"/>
        <v>382355.50000000006</v>
      </c>
      <c r="N8" s="149">
        <f>SUM(D8:M8)</f>
        <v>3237619.7</v>
      </c>
    </row>
    <row r="9" spans="1:29" ht="15.75" x14ac:dyDescent="0.2">
      <c r="A9" s="127"/>
      <c r="B9" s="128"/>
      <c r="C9" s="155" t="s">
        <v>212</v>
      </c>
      <c r="D9" s="149">
        <f t="shared" si="1"/>
        <v>217161.60000000001</v>
      </c>
      <c r="E9" s="149">
        <f t="shared" si="1"/>
        <v>249957.8</v>
      </c>
      <c r="F9" s="149">
        <f t="shared" si="1"/>
        <v>211534.09999999998</v>
      </c>
      <c r="G9" s="150">
        <f t="shared" si="1"/>
        <v>199302.50000000003</v>
      </c>
      <c r="H9" s="150">
        <f t="shared" si="1"/>
        <v>198036.09999999998</v>
      </c>
      <c r="I9" s="149">
        <f t="shared" si="1"/>
        <v>232969.00000000003</v>
      </c>
      <c r="J9" s="149">
        <f t="shared" si="1"/>
        <v>211201.8</v>
      </c>
      <c r="K9" s="149">
        <f t="shared" si="1"/>
        <v>265324.3</v>
      </c>
      <c r="L9" s="149">
        <f t="shared" si="1"/>
        <v>239493.4</v>
      </c>
      <c r="M9" s="149">
        <f t="shared" si="1"/>
        <v>239444.1</v>
      </c>
      <c r="N9" s="149">
        <f>SUM(D9:M9)</f>
        <v>2264424.7000000002</v>
      </c>
    </row>
    <row r="10" spans="1:29" ht="15" customHeight="1" x14ac:dyDescent="0.2">
      <c r="A10" s="79"/>
      <c r="B10" s="129"/>
      <c r="C10" s="155" t="s">
        <v>213</v>
      </c>
      <c r="D10" s="149">
        <f t="shared" si="1"/>
        <v>15519.9</v>
      </c>
      <c r="E10" s="149">
        <f t="shared" si="1"/>
        <v>15300.3</v>
      </c>
      <c r="F10" s="149">
        <f t="shared" si="1"/>
        <v>19571.8</v>
      </c>
      <c r="G10" s="150">
        <f t="shared" si="1"/>
        <v>22399.7</v>
      </c>
      <c r="H10" s="150">
        <f t="shared" si="1"/>
        <v>25053.100000000002</v>
      </c>
      <c r="I10" s="149">
        <f t="shared" si="1"/>
        <v>26836.7</v>
      </c>
      <c r="J10" s="149">
        <f t="shared" si="1"/>
        <v>21842.799999999999</v>
      </c>
      <c r="K10" s="149">
        <f>K15+K21+K26+K32</f>
        <v>22885</v>
      </c>
      <c r="L10" s="149">
        <f>L15+L21+L26+L32</f>
        <v>23064.3</v>
      </c>
      <c r="M10" s="149">
        <f>M15+M21+M26+M32</f>
        <v>23064.3</v>
      </c>
      <c r="N10" s="149">
        <f t="shared" ref="N10:N32" si="2">SUM(D10:M10)</f>
        <v>215537.89999999997</v>
      </c>
    </row>
    <row r="11" spans="1:29" ht="15.75" customHeight="1" x14ac:dyDescent="0.2">
      <c r="A11" s="74" t="s">
        <v>214</v>
      </c>
      <c r="B11" s="126" t="s">
        <v>193</v>
      </c>
      <c r="C11" s="148" t="s">
        <v>208</v>
      </c>
      <c r="D11" s="149">
        <f t="shared" ref="D11:J11" si="3">D13+D14+D15</f>
        <v>198091.59999999998</v>
      </c>
      <c r="E11" s="149">
        <f t="shared" si="3"/>
        <v>204824.59999999998</v>
      </c>
      <c r="F11" s="149">
        <f t="shared" si="3"/>
        <v>219030.5</v>
      </c>
      <c r="G11" s="150">
        <f t="shared" si="3"/>
        <v>218633.1</v>
      </c>
      <c r="H11" s="150">
        <f t="shared" si="3"/>
        <v>229336.9</v>
      </c>
      <c r="I11" s="149">
        <f t="shared" si="3"/>
        <v>267495.40000000002</v>
      </c>
      <c r="J11" s="149">
        <f t="shared" si="3"/>
        <v>275550.39999999997</v>
      </c>
      <c r="K11" s="149">
        <f>K13+K14+K15</f>
        <v>312164</v>
      </c>
      <c r="L11" s="149">
        <f>L13+L14+L15</f>
        <v>295018</v>
      </c>
      <c r="M11" s="149">
        <f>M13+M14+M15</f>
        <v>295018</v>
      </c>
      <c r="N11" s="149">
        <f>N13+N14+N15</f>
        <v>2515162.5000000005</v>
      </c>
    </row>
    <row r="12" spans="1:29" ht="15.75" x14ac:dyDescent="0.2">
      <c r="A12" s="127"/>
      <c r="B12" s="128"/>
      <c r="C12" s="151" t="s">
        <v>209</v>
      </c>
      <c r="D12" s="152"/>
      <c r="E12" s="149"/>
      <c r="F12" s="153"/>
      <c r="G12" s="154"/>
      <c r="H12" s="154"/>
      <c r="I12" s="153"/>
      <c r="J12" s="153"/>
      <c r="K12" s="153"/>
      <c r="L12" s="149">
        <f>K12</f>
        <v>0</v>
      </c>
      <c r="M12" s="149"/>
      <c r="N12" s="149">
        <f t="shared" si="2"/>
        <v>0</v>
      </c>
    </row>
    <row r="13" spans="1:29" ht="15.75" x14ac:dyDescent="0.2">
      <c r="A13" s="127"/>
      <c r="B13" s="128"/>
      <c r="C13" s="156" t="s">
        <v>215</v>
      </c>
      <c r="D13" s="157">
        <v>92552.9</v>
      </c>
      <c r="E13" s="149">
        <v>81485.8</v>
      </c>
      <c r="F13" s="153">
        <v>116158.7</v>
      </c>
      <c r="G13" s="154">
        <v>122752.3</v>
      </c>
      <c r="H13" s="154">
        <v>129296.8</v>
      </c>
      <c r="I13" s="153">
        <v>147632</v>
      </c>
      <c r="J13" s="153">
        <v>168234.1</v>
      </c>
      <c r="K13" s="153">
        <v>175129.60000000001</v>
      </c>
      <c r="L13" s="153">
        <v>167401.1</v>
      </c>
      <c r="M13" s="153">
        <f>L13</f>
        <v>167401.1</v>
      </c>
      <c r="N13" s="149">
        <f t="shared" si="2"/>
        <v>1368044.4000000001</v>
      </c>
    </row>
    <row r="14" spans="1:29" ht="15.75" x14ac:dyDescent="0.2">
      <c r="A14" s="127"/>
      <c r="B14" s="128"/>
      <c r="C14" s="156" t="s">
        <v>216</v>
      </c>
      <c r="D14" s="157">
        <v>92376.4</v>
      </c>
      <c r="E14" s="149">
        <v>110895</v>
      </c>
      <c r="F14" s="149">
        <v>86284.2</v>
      </c>
      <c r="G14" s="150">
        <v>76465.3</v>
      </c>
      <c r="H14" s="150">
        <v>78788.7</v>
      </c>
      <c r="I14" s="149">
        <v>99489.9</v>
      </c>
      <c r="J14" s="149">
        <v>92286.7</v>
      </c>
      <c r="K14" s="149">
        <v>117076.7</v>
      </c>
      <c r="L14" s="149">
        <v>106535.3</v>
      </c>
      <c r="M14" s="153">
        <f>L14</f>
        <v>106535.3</v>
      </c>
      <c r="N14" s="149">
        <f t="shared" si="2"/>
        <v>966733.5</v>
      </c>
    </row>
    <row r="15" spans="1:29" ht="31.5" x14ac:dyDescent="0.2">
      <c r="A15" s="79"/>
      <c r="B15" s="129"/>
      <c r="C15" s="156" t="s">
        <v>217</v>
      </c>
      <c r="D15" s="157">
        <v>13162.3</v>
      </c>
      <c r="E15" s="149">
        <v>12443.8</v>
      </c>
      <c r="F15" s="153">
        <v>16587.599999999999</v>
      </c>
      <c r="G15" s="154">
        <v>19415.5</v>
      </c>
      <c r="H15" s="154">
        <v>21251.4</v>
      </c>
      <c r="I15" s="153">
        <v>20373.5</v>
      </c>
      <c r="J15" s="153">
        <v>15029.6</v>
      </c>
      <c r="K15" s="153">
        <v>19957.7</v>
      </c>
      <c r="L15" s="153">
        <v>21081.599999999999</v>
      </c>
      <c r="M15" s="153">
        <f>L15</f>
        <v>21081.599999999999</v>
      </c>
      <c r="N15" s="149">
        <f t="shared" si="2"/>
        <v>180384.60000000003</v>
      </c>
    </row>
    <row r="16" spans="1:29" ht="15.75" customHeight="1" x14ac:dyDescent="0.2">
      <c r="A16" s="74" t="s">
        <v>218</v>
      </c>
      <c r="B16" s="126" t="s">
        <v>197</v>
      </c>
      <c r="C16" s="148" t="s">
        <v>208</v>
      </c>
      <c r="D16" s="149">
        <f t="shared" ref="D16:I16" si="4">D19+D20+D21</f>
        <v>214621.9</v>
      </c>
      <c r="E16" s="149">
        <f t="shared" si="4"/>
        <v>231479.09999999998</v>
      </c>
      <c r="F16" s="149">
        <f t="shared" si="4"/>
        <v>252889.59999999998</v>
      </c>
      <c r="G16" s="150">
        <f t="shared" si="4"/>
        <v>262736.60000000003</v>
      </c>
      <c r="H16" s="150">
        <f t="shared" si="4"/>
        <v>275850</v>
      </c>
      <c r="I16" s="149">
        <f t="shared" si="4"/>
        <v>294091.2</v>
      </c>
      <c r="J16" s="149">
        <f>J19+J20+J21+J18</f>
        <v>299894.2</v>
      </c>
      <c r="K16" s="149">
        <f>K19+K20+K21+K18</f>
        <v>338334.79999999993</v>
      </c>
      <c r="L16" s="149">
        <f>L19+L20+L21+L18</f>
        <v>320023.09999999998</v>
      </c>
      <c r="M16" s="149">
        <f>M19+M20+M21+M18</f>
        <v>323572.3</v>
      </c>
      <c r="N16" s="149">
        <f t="shared" si="2"/>
        <v>2813492.8</v>
      </c>
    </row>
    <row r="17" spans="1:14" ht="15.75" x14ac:dyDescent="0.2">
      <c r="A17" s="127"/>
      <c r="B17" s="128"/>
      <c r="C17" s="151" t="s">
        <v>209</v>
      </c>
      <c r="D17" s="152"/>
      <c r="E17" s="153"/>
      <c r="F17" s="153"/>
      <c r="G17" s="154"/>
      <c r="H17" s="154"/>
      <c r="I17" s="153"/>
      <c r="J17" s="153"/>
      <c r="K17" s="153"/>
      <c r="L17" s="149">
        <f>K17</f>
        <v>0</v>
      </c>
      <c r="M17" s="149"/>
      <c r="N17" s="149">
        <f t="shared" si="2"/>
        <v>0</v>
      </c>
    </row>
    <row r="18" spans="1:14" ht="15.75" x14ac:dyDescent="0.2">
      <c r="A18" s="127"/>
      <c r="B18" s="128"/>
      <c r="C18" s="155" t="s">
        <v>210</v>
      </c>
      <c r="D18" s="152"/>
      <c r="E18" s="153"/>
      <c r="F18" s="153"/>
      <c r="G18" s="154"/>
      <c r="H18" s="154"/>
      <c r="I18" s="153"/>
      <c r="J18" s="153">
        <f>2668.9+5195+4734.7</f>
        <v>12598.599999999999</v>
      </c>
      <c r="K18" s="153">
        <v>30649.1</v>
      </c>
      <c r="L18" s="149">
        <v>29989.8</v>
      </c>
      <c r="M18" s="149">
        <v>31878.1</v>
      </c>
      <c r="N18" s="149">
        <f t="shared" si="2"/>
        <v>105115.6</v>
      </c>
    </row>
    <row r="19" spans="1:14" ht="15.75" x14ac:dyDescent="0.2">
      <c r="A19" s="127"/>
      <c r="B19" s="128"/>
      <c r="C19" s="148" t="s">
        <v>219</v>
      </c>
      <c r="D19" s="157">
        <v>109406.9</v>
      </c>
      <c r="E19" s="149">
        <v>113565.8</v>
      </c>
      <c r="F19" s="153">
        <v>149314.1</v>
      </c>
      <c r="G19" s="154">
        <v>163921.20000000001</v>
      </c>
      <c r="H19" s="154">
        <v>178896.1</v>
      </c>
      <c r="I19" s="153">
        <v>189252.9</v>
      </c>
      <c r="J19" s="153">
        <v>201386.3</v>
      </c>
      <c r="K19" s="153">
        <f>236996.3-K18</f>
        <v>206347.19999999998</v>
      </c>
      <c r="L19" s="149">
        <f>231059.9-L18</f>
        <v>201070.1</v>
      </c>
      <c r="M19" s="149">
        <f>234658.4-M18</f>
        <v>202780.3</v>
      </c>
      <c r="N19" s="149">
        <f t="shared" si="2"/>
        <v>1715940.9000000001</v>
      </c>
    </row>
    <row r="20" spans="1:14" ht="15.75" x14ac:dyDescent="0.2">
      <c r="A20" s="127"/>
      <c r="B20" s="128"/>
      <c r="C20" s="148" t="s">
        <v>220</v>
      </c>
      <c r="D20" s="157">
        <v>103390.39999999999</v>
      </c>
      <c r="E20" s="149">
        <v>115762</v>
      </c>
      <c r="F20" s="149">
        <v>101282.7</v>
      </c>
      <c r="G20" s="150">
        <v>96522.6</v>
      </c>
      <c r="H20" s="150">
        <v>93843.6</v>
      </c>
      <c r="I20" s="149">
        <v>99156.3</v>
      </c>
      <c r="J20" s="149">
        <v>79096.100000000006</v>
      </c>
      <c r="K20" s="149">
        <v>98411.199999999997</v>
      </c>
      <c r="L20" s="149">
        <v>86980.5</v>
      </c>
      <c r="M20" s="149">
        <v>86931.199999999997</v>
      </c>
      <c r="N20" s="149">
        <f t="shared" si="2"/>
        <v>961376.59999999986</v>
      </c>
    </row>
    <row r="21" spans="1:14" ht="15.75" x14ac:dyDescent="0.2">
      <c r="A21" s="79"/>
      <c r="B21" s="129"/>
      <c r="C21" s="148" t="s">
        <v>221</v>
      </c>
      <c r="D21" s="157">
        <v>1824.6</v>
      </c>
      <c r="E21" s="149">
        <v>2151.3000000000002</v>
      </c>
      <c r="F21" s="153">
        <v>2292.8000000000002</v>
      </c>
      <c r="G21" s="154">
        <v>2292.8000000000002</v>
      </c>
      <c r="H21" s="154">
        <v>3110.3</v>
      </c>
      <c r="I21" s="153">
        <v>5682</v>
      </c>
      <c r="J21" s="153">
        <v>6813.2</v>
      </c>
      <c r="K21" s="153">
        <v>2927.3</v>
      </c>
      <c r="L21" s="149">
        <v>1982.7</v>
      </c>
      <c r="M21" s="149">
        <f>L21</f>
        <v>1982.7</v>
      </c>
      <c r="N21" s="149">
        <f t="shared" si="2"/>
        <v>31059.7</v>
      </c>
    </row>
    <row r="22" spans="1:14" ht="15.75" customHeight="1" x14ac:dyDescent="0.2">
      <c r="A22" s="74" t="s">
        <v>198</v>
      </c>
      <c r="B22" s="126" t="s">
        <v>199</v>
      </c>
      <c r="C22" s="148" t="s">
        <v>208</v>
      </c>
      <c r="D22" s="149">
        <f t="shared" ref="D22:I22" si="5">D24+D25+D26</f>
        <v>6990.7000000000007</v>
      </c>
      <c r="E22" s="149">
        <f t="shared" si="5"/>
        <v>7764.9</v>
      </c>
      <c r="F22" s="149">
        <f t="shared" si="5"/>
        <v>7414.4</v>
      </c>
      <c r="G22" s="150">
        <f t="shared" si="5"/>
        <v>8058.2999999999993</v>
      </c>
      <c r="H22" s="150">
        <f>H24+H25+H26</f>
        <v>7980.7999999999993</v>
      </c>
      <c r="I22" s="149">
        <f t="shared" si="5"/>
        <v>8394.1</v>
      </c>
      <c r="J22" s="149">
        <f>J24+J25+J26</f>
        <v>0</v>
      </c>
      <c r="K22" s="149">
        <f>K24+K25+K26</f>
        <v>9578.2000000000007</v>
      </c>
      <c r="L22" s="149">
        <f>L24+L25+L26</f>
        <v>7114.9</v>
      </c>
      <c r="M22" s="149">
        <f>M24+M25+M26</f>
        <v>7114.9</v>
      </c>
      <c r="N22" s="149">
        <f t="shared" si="2"/>
        <v>70411.199999999997</v>
      </c>
    </row>
    <row r="23" spans="1:14" ht="15.75" x14ac:dyDescent="0.2">
      <c r="A23" s="127"/>
      <c r="B23" s="128"/>
      <c r="C23" s="151" t="s">
        <v>209</v>
      </c>
      <c r="D23" s="157"/>
      <c r="E23" s="149"/>
      <c r="F23" s="153"/>
      <c r="G23" s="154"/>
      <c r="H23" s="154"/>
      <c r="I23" s="153"/>
      <c r="J23" s="153"/>
      <c r="K23" s="153"/>
      <c r="L23" s="149">
        <f>K23</f>
        <v>0</v>
      </c>
      <c r="M23" s="149"/>
      <c r="N23" s="149">
        <f t="shared" si="2"/>
        <v>0</v>
      </c>
    </row>
    <row r="24" spans="1:14" ht="15.75" x14ac:dyDescent="0.2">
      <c r="A24" s="127"/>
      <c r="B24" s="128"/>
      <c r="C24" s="155" t="s">
        <v>211</v>
      </c>
      <c r="D24" s="157">
        <v>4599.6000000000004</v>
      </c>
      <c r="E24" s="149">
        <v>4788.3999999999996</v>
      </c>
      <c r="F24" s="153">
        <v>4560.6000000000004</v>
      </c>
      <c r="G24" s="154">
        <v>4565.7</v>
      </c>
      <c r="H24" s="154">
        <v>5116.3999999999996</v>
      </c>
      <c r="I24" s="153">
        <v>5258.7</v>
      </c>
      <c r="J24" s="153">
        <v>0</v>
      </c>
      <c r="K24" s="153">
        <v>7114.9</v>
      </c>
      <c r="L24" s="153">
        <v>7114.9</v>
      </c>
      <c r="M24" s="153">
        <f>L24</f>
        <v>7114.9</v>
      </c>
      <c r="N24" s="149">
        <f t="shared" si="2"/>
        <v>50234.1</v>
      </c>
    </row>
    <row r="25" spans="1:14" ht="15.75" x14ac:dyDescent="0.2">
      <c r="A25" s="127"/>
      <c r="B25" s="128"/>
      <c r="C25" s="155" t="s">
        <v>212</v>
      </c>
      <c r="D25" s="157">
        <v>1858.1</v>
      </c>
      <c r="E25" s="149">
        <v>2271.3000000000002</v>
      </c>
      <c r="F25" s="149">
        <v>2162.4</v>
      </c>
      <c r="G25" s="150">
        <v>2801.2</v>
      </c>
      <c r="H25" s="150">
        <v>2173</v>
      </c>
      <c r="I25" s="149">
        <v>2354.1999999999998</v>
      </c>
      <c r="J25" s="149">
        <v>0</v>
      </c>
      <c r="K25" s="149">
        <v>2463.3000000000002</v>
      </c>
      <c r="L25" s="149">
        <v>0</v>
      </c>
      <c r="M25" s="153">
        <f>L25</f>
        <v>0</v>
      </c>
      <c r="N25" s="149">
        <f t="shared" si="2"/>
        <v>16083.5</v>
      </c>
    </row>
    <row r="26" spans="1:14" ht="15.75" x14ac:dyDescent="0.2">
      <c r="A26" s="79"/>
      <c r="B26" s="129"/>
      <c r="C26" s="155" t="s">
        <v>213</v>
      </c>
      <c r="D26" s="157">
        <v>533</v>
      </c>
      <c r="E26" s="149">
        <v>705.2</v>
      </c>
      <c r="F26" s="153">
        <v>691.4</v>
      </c>
      <c r="G26" s="154">
        <v>691.4</v>
      </c>
      <c r="H26" s="154">
        <v>691.4</v>
      </c>
      <c r="I26" s="153">
        <v>781.2</v>
      </c>
      <c r="J26" s="153">
        <v>0</v>
      </c>
      <c r="K26" s="153">
        <v>0</v>
      </c>
      <c r="L26" s="153">
        <v>0</v>
      </c>
      <c r="M26" s="153">
        <f>L26</f>
        <v>0</v>
      </c>
      <c r="N26" s="149">
        <f t="shared" si="2"/>
        <v>4093.6000000000004</v>
      </c>
    </row>
    <row r="27" spans="1:14" ht="15.75" customHeight="1" x14ac:dyDescent="0.2">
      <c r="A27" s="74" t="s">
        <v>200</v>
      </c>
      <c r="B27" s="126" t="s">
        <v>201</v>
      </c>
      <c r="C27" s="148" t="s">
        <v>208</v>
      </c>
      <c r="D27" s="149">
        <f t="shared" ref="D27:I27" si="6">D30+D31+D32</f>
        <v>28125.4</v>
      </c>
      <c r="E27" s="149">
        <f t="shared" si="6"/>
        <v>29557</v>
      </c>
      <c r="F27" s="149">
        <f t="shared" si="6"/>
        <v>32395.199999999997</v>
      </c>
      <c r="G27" s="150">
        <f t="shared" si="6"/>
        <v>33800</v>
      </c>
      <c r="H27" s="150">
        <f t="shared" si="6"/>
        <v>36181.300000000003</v>
      </c>
      <c r="I27" s="149">
        <f t="shared" si="6"/>
        <v>44408.899999999994</v>
      </c>
      <c r="J27" s="149">
        <f>J30+J31+J32</f>
        <v>59607.7</v>
      </c>
      <c r="K27" s="149">
        <f>K30+K31+K32+K29</f>
        <v>54618.7</v>
      </c>
      <c r="L27" s="149">
        <f>L28+L30+L31+L29</f>
        <v>68255.199999999997</v>
      </c>
      <c r="M27" s="149">
        <f>M28+M30+M31+M29</f>
        <v>57291.1</v>
      </c>
      <c r="N27" s="149">
        <f>SUM(D27:M27)</f>
        <v>444240.5</v>
      </c>
    </row>
    <row r="28" spans="1:14" ht="15.75" x14ac:dyDescent="0.2">
      <c r="A28" s="127"/>
      <c r="B28" s="128"/>
      <c r="C28" s="151" t="s">
        <v>209</v>
      </c>
      <c r="D28" s="157"/>
      <c r="E28" s="149"/>
      <c r="F28" s="153"/>
      <c r="G28" s="154"/>
      <c r="H28" s="154"/>
      <c r="I28" s="153"/>
      <c r="J28" s="153"/>
      <c r="K28" s="153"/>
      <c r="L28" s="149"/>
      <c r="M28" s="149"/>
      <c r="N28" s="149">
        <f t="shared" si="2"/>
        <v>0</v>
      </c>
    </row>
    <row r="29" spans="1:14" ht="15.75" x14ac:dyDescent="0.2">
      <c r="A29" s="127"/>
      <c r="B29" s="128"/>
      <c r="C29" s="155" t="s">
        <v>210</v>
      </c>
      <c r="D29" s="157"/>
      <c r="E29" s="149"/>
      <c r="F29" s="153"/>
      <c r="G29" s="154"/>
      <c r="H29" s="154"/>
      <c r="I29" s="153"/>
      <c r="J29" s="153"/>
      <c r="K29" s="153">
        <v>3555.7</v>
      </c>
      <c r="L29" s="149">
        <v>10799.1</v>
      </c>
      <c r="M29" s="149">
        <v>6254.3</v>
      </c>
      <c r="N29" s="149">
        <f>K29+L29+M29</f>
        <v>20609.099999999999</v>
      </c>
    </row>
    <row r="30" spans="1:14" ht="15.75" x14ac:dyDescent="0.2">
      <c r="A30" s="127"/>
      <c r="B30" s="128"/>
      <c r="C30" s="155" t="s">
        <v>211</v>
      </c>
      <c r="D30" s="157">
        <v>8588.7000000000007</v>
      </c>
      <c r="E30" s="149">
        <v>8527.5</v>
      </c>
      <c r="F30" s="153">
        <v>10590.4</v>
      </c>
      <c r="G30" s="154">
        <v>10286.6</v>
      </c>
      <c r="H30" s="154">
        <v>12950.5</v>
      </c>
      <c r="I30" s="153">
        <v>12440.3</v>
      </c>
      <c r="J30" s="153">
        <v>19788.7</v>
      </c>
      <c r="K30" s="153">
        <f>7245.6-K29</f>
        <v>3689.9000000000005</v>
      </c>
      <c r="L30" s="149">
        <f>22277.6-L29</f>
        <v>11478.499999999998</v>
      </c>
      <c r="M30" s="149">
        <f>11313.5-M29</f>
        <v>5059.2</v>
      </c>
      <c r="N30" s="149">
        <f t="shared" si="2"/>
        <v>103400.29999999999</v>
      </c>
    </row>
    <row r="31" spans="1:14" ht="15.75" x14ac:dyDescent="0.2">
      <c r="A31" s="127"/>
      <c r="B31" s="128"/>
      <c r="C31" s="155" t="s">
        <v>212</v>
      </c>
      <c r="D31" s="157">
        <v>19536.7</v>
      </c>
      <c r="E31" s="149">
        <v>21029.5</v>
      </c>
      <c r="F31" s="149">
        <v>21804.799999999999</v>
      </c>
      <c r="G31" s="150">
        <v>23513.4</v>
      </c>
      <c r="H31" s="150">
        <v>23230.799999999999</v>
      </c>
      <c r="I31" s="149">
        <v>31968.6</v>
      </c>
      <c r="J31" s="149">
        <v>39819</v>
      </c>
      <c r="K31" s="149">
        <f>47373.1</f>
        <v>47373.1</v>
      </c>
      <c r="L31" s="149">
        <v>45977.599999999999</v>
      </c>
      <c r="M31" s="149">
        <v>45977.599999999999</v>
      </c>
      <c r="N31" s="149">
        <f t="shared" si="2"/>
        <v>320231.09999999998</v>
      </c>
    </row>
    <row r="32" spans="1:14" ht="15" customHeight="1" x14ac:dyDescent="0.2">
      <c r="A32" s="79"/>
      <c r="B32" s="129"/>
      <c r="C32" s="155" t="s">
        <v>213</v>
      </c>
      <c r="D32" s="157">
        <v>0</v>
      </c>
      <c r="E32" s="149">
        <v>0</v>
      </c>
      <c r="F32" s="153">
        <v>0</v>
      </c>
      <c r="G32" s="154">
        <v>0</v>
      </c>
      <c r="H32" s="154">
        <v>0</v>
      </c>
      <c r="I32" s="153">
        <v>0</v>
      </c>
      <c r="J32" s="153">
        <v>0</v>
      </c>
      <c r="K32" s="153">
        <v>0</v>
      </c>
      <c r="L32" s="149">
        <f>K32</f>
        <v>0</v>
      </c>
      <c r="M32" s="149">
        <f>L32</f>
        <v>0</v>
      </c>
      <c r="N32" s="149">
        <f t="shared" si="2"/>
        <v>0</v>
      </c>
    </row>
    <row r="33" spans="1:15" s="4" customFormat="1" ht="30.75" customHeight="1" x14ac:dyDescent="0.25">
      <c r="A33" s="158" t="s">
        <v>159</v>
      </c>
      <c r="B33" s="158"/>
      <c r="C33" s="159"/>
      <c r="D33" s="159"/>
      <c r="E33" s="160"/>
      <c r="F33" s="26"/>
      <c r="G33" s="161" t="s">
        <v>160</v>
      </c>
      <c r="H33" s="161"/>
      <c r="I33" s="161"/>
      <c r="J33" s="161"/>
      <c r="K33" s="161"/>
      <c r="L33" s="161"/>
      <c r="M33" s="161"/>
      <c r="N33" s="161"/>
      <c r="O33" s="162"/>
    </row>
    <row r="138" spans="17:17" ht="105" customHeight="1" x14ac:dyDescent="0.25">
      <c r="Q138" s="4"/>
    </row>
  </sheetData>
  <mergeCells count="18">
    <mergeCell ref="A22:A26"/>
    <mergeCell ref="B22:B26"/>
    <mergeCell ref="A27:A32"/>
    <mergeCell ref="B27:B32"/>
    <mergeCell ref="G33:N33"/>
    <mergeCell ref="A5:A10"/>
    <mergeCell ref="B5:B10"/>
    <mergeCell ref="A11:A15"/>
    <mergeCell ref="B11:B15"/>
    <mergeCell ref="A16:A21"/>
    <mergeCell ref="B16:B21"/>
    <mergeCell ref="L1:Q1"/>
    <mergeCell ref="X1:AC1"/>
    <mergeCell ref="A2:N2"/>
    <mergeCell ref="A3:A4"/>
    <mergeCell ref="B3:B4"/>
    <mergeCell ref="C3:C4"/>
    <mergeCell ref="D3:N3"/>
  </mergeCells>
  <printOptions horizontalCentered="1"/>
  <pageMargins left="0.15748031496062992" right="0.15748031496062992" top="0.78740157480314965" bottom="0" header="0.31496062992125984" footer="0.31496062992125984"/>
  <pageSetup paperSize="9" scale="58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X35"/>
  <sheetViews>
    <sheetView view="pageBreakPreview" topLeftCell="G1" zoomScaleNormal="100" zoomScaleSheetLayoutView="100" workbookViewId="0">
      <selection activeCell="A17" sqref="A17:Q17"/>
    </sheetView>
  </sheetViews>
  <sheetFormatPr defaultRowHeight="15.75" x14ac:dyDescent="0.25"/>
  <cols>
    <col min="1" max="1" width="46.42578125" style="69" customWidth="1"/>
    <col min="2" max="2" width="9.140625" style="69" customWidth="1"/>
    <col min="3" max="9" width="9.140625" style="69"/>
    <col min="10" max="10" width="10.28515625" style="69" customWidth="1"/>
    <col min="11" max="11" width="9.5703125" style="69" bestFit="1" customWidth="1"/>
    <col min="12" max="12" width="10.140625" style="69" customWidth="1"/>
    <col min="13" max="13" width="10.7109375" style="69" bestFit="1" customWidth="1"/>
    <col min="14" max="14" width="10.7109375" style="69" customWidth="1"/>
    <col min="15" max="15" width="10.7109375" style="4" customWidth="1"/>
    <col min="16" max="16" width="11.5703125" style="26" bestFit="1" customWidth="1"/>
    <col min="17" max="17" width="12.85546875" style="69" customWidth="1"/>
    <col min="18" max="18" width="11" style="69" customWidth="1"/>
    <col min="19" max="19" width="12.28515625" style="69" customWidth="1"/>
    <col min="20" max="20" width="11.5703125" style="69" hidden="1" customWidth="1"/>
    <col min="21" max="21" width="15" style="69" hidden="1" customWidth="1"/>
    <col min="22" max="22" width="9.140625" style="69" hidden="1" customWidth="1"/>
    <col min="23" max="23" width="13.85546875" style="69" hidden="1" customWidth="1"/>
    <col min="24" max="24" width="9.28515625" style="69" hidden="1" customWidth="1"/>
    <col min="25" max="25" width="0" style="69" hidden="1" customWidth="1"/>
    <col min="26" max="16384" width="9.140625" style="69"/>
  </cols>
  <sheetData>
    <row r="1" spans="1:24" ht="71.25" customHeight="1" x14ac:dyDescent="0.25">
      <c r="J1" s="163" t="s">
        <v>222</v>
      </c>
      <c r="K1" s="163"/>
      <c r="L1" s="163"/>
      <c r="M1" s="163"/>
      <c r="N1" s="163"/>
      <c r="O1" s="163"/>
      <c r="P1" s="163"/>
      <c r="Q1" s="163"/>
    </row>
    <row r="2" spans="1:24" s="164" customFormat="1" ht="34.5" customHeight="1" x14ac:dyDescent="0.25">
      <c r="A2" s="102" t="s">
        <v>223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24" ht="35.25" customHeight="1" x14ac:dyDescent="0.25">
      <c r="A3" s="73" t="s">
        <v>224</v>
      </c>
      <c r="B3" s="73" t="s">
        <v>225</v>
      </c>
      <c r="C3" s="73"/>
      <c r="D3" s="73"/>
      <c r="E3" s="73"/>
      <c r="F3" s="73"/>
      <c r="G3" s="73"/>
      <c r="H3" s="73"/>
      <c r="I3" s="165"/>
      <c r="J3" s="166" t="s">
        <v>226</v>
      </c>
      <c r="K3" s="167"/>
      <c r="L3" s="167"/>
      <c r="M3" s="167"/>
      <c r="N3" s="167"/>
      <c r="O3" s="167"/>
      <c r="P3" s="167"/>
      <c r="Q3" s="167"/>
      <c r="R3" s="167"/>
    </row>
    <row r="4" spans="1:24" ht="31.5" x14ac:dyDescent="0.25">
      <c r="A4" s="73"/>
      <c r="B4" s="14" t="s">
        <v>8</v>
      </c>
      <c r="C4" s="54" t="s">
        <v>9</v>
      </c>
      <c r="D4" s="54" t="s">
        <v>10</v>
      </c>
      <c r="E4" s="54" t="s">
        <v>11</v>
      </c>
      <c r="F4" s="54" t="s">
        <v>12</v>
      </c>
      <c r="G4" s="54" t="s">
        <v>13</v>
      </c>
      <c r="H4" s="54" t="s">
        <v>14</v>
      </c>
      <c r="I4" s="54" t="s">
        <v>15</v>
      </c>
      <c r="J4" s="1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14" t="s">
        <v>13</v>
      </c>
      <c r="P4" s="21" t="s">
        <v>14</v>
      </c>
      <c r="Q4" s="54" t="s">
        <v>15</v>
      </c>
      <c r="R4" s="21" t="s">
        <v>16</v>
      </c>
      <c r="S4" s="21" t="s">
        <v>17</v>
      </c>
    </row>
    <row r="5" spans="1:24" x14ac:dyDescent="0.25">
      <c r="A5" s="168" t="s">
        <v>227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70"/>
    </row>
    <row r="6" spans="1:24" x14ac:dyDescent="0.25">
      <c r="A6" s="112" t="s">
        <v>228</v>
      </c>
      <c r="B6" s="171" t="s">
        <v>229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3"/>
    </row>
    <row r="7" spans="1:24" x14ac:dyDescent="0.25">
      <c r="A7" s="174" t="s">
        <v>230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6"/>
    </row>
    <row r="8" spans="1:24" ht="31.5" x14ac:dyDescent="0.25">
      <c r="A8" s="177" t="s">
        <v>231</v>
      </c>
      <c r="B8" s="20">
        <v>1264</v>
      </c>
      <c r="C8" s="20">
        <v>1687</v>
      </c>
      <c r="D8" s="20">
        <v>1731</v>
      </c>
      <c r="E8" s="20">
        <v>1673</v>
      </c>
      <c r="F8" s="20">
        <v>1753</v>
      </c>
      <c r="G8" s="20">
        <v>1753</v>
      </c>
      <c r="H8" s="20">
        <f>(1741+1617)/2</f>
        <v>1679</v>
      </c>
      <c r="I8" s="20">
        <v>1617</v>
      </c>
      <c r="J8" s="28">
        <v>110039.9</v>
      </c>
      <c r="K8" s="20">
        <v>115982.1</v>
      </c>
      <c r="L8" s="28">
        <v>189224.3</v>
      </c>
      <c r="M8" s="28">
        <f>165397.3+24524.8</f>
        <v>189922.09999999998</v>
      </c>
      <c r="N8" s="28">
        <v>229336.9</v>
      </c>
      <c r="O8" s="28">
        <v>267495.40000000002</v>
      </c>
      <c r="P8" s="28">
        <v>275550.40000000002</v>
      </c>
      <c r="Q8" s="178">
        <v>312164</v>
      </c>
      <c r="R8" s="28">
        <v>295018</v>
      </c>
      <c r="S8" s="28">
        <v>295018</v>
      </c>
    </row>
    <row r="9" spans="1:24" x14ac:dyDescent="0.25">
      <c r="A9" s="179" t="s">
        <v>232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1"/>
      <c r="R9" s="26"/>
      <c r="S9" s="26"/>
    </row>
    <row r="10" spans="1:24" x14ac:dyDescent="0.25">
      <c r="A10" s="125" t="s">
        <v>228</v>
      </c>
      <c r="B10" s="182" t="s">
        <v>233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4"/>
      <c r="R10" s="26"/>
      <c r="S10" s="26"/>
    </row>
    <row r="11" spans="1:24" x14ac:dyDescent="0.25">
      <c r="A11" s="185" t="s">
        <v>234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7"/>
      <c r="R11" s="26"/>
      <c r="S11" s="26"/>
      <c r="V11" s="69">
        <v>2021</v>
      </c>
      <c r="W11" s="188">
        <f>Q12+Q16+Q20</f>
        <v>297480.80000001501</v>
      </c>
    </row>
    <row r="12" spans="1:24" ht="31.5" x14ac:dyDescent="0.25">
      <c r="A12" s="177" t="s">
        <v>231</v>
      </c>
      <c r="B12" s="20">
        <v>1265</v>
      </c>
      <c r="C12" s="20">
        <v>1233</v>
      </c>
      <c r="D12" s="20">
        <v>1194</v>
      </c>
      <c r="E12" s="20">
        <v>1267</v>
      </c>
      <c r="F12" s="20">
        <v>1351</v>
      </c>
      <c r="G12" s="20">
        <v>1351</v>
      </c>
      <c r="H12" s="20">
        <v>1409</v>
      </c>
      <c r="I12" s="20">
        <v>1466</v>
      </c>
      <c r="J12" s="20">
        <v>58719.245999999999</v>
      </c>
      <c r="K12" s="20">
        <v>61890.1</v>
      </c>
      <c r="L12" s="28">
        <v>56463.8</v>
      </c>
      <c r="M12" s="28">
        <v>108873.3</v>
      </c>
      <c r="N12" s="28">
        <f>70.55*F12</f>
        <v>95313.05</v>
      </c>
      <c r="O12" s="28">
        <f>82.468081*1351</f>
        <v>111414.377431</v>
      </c>
      <c r="P12" s="28">
        <f>81.4854983*H12</f>
        <v>114813.06710470001</v>
      </c>
      <c r="Q12" s="178">
        <f>90.4196656535*I12</f>
        <v>132555.22984803101</v>
      </c>
      <c r="R12" s="28">
        <f>85.85364742*I12</f>
        <v>125861.44711772</v>
      </c>
      <c r="S12" s="28">
        <f>86.93243161*I12</f>
        <v>127442.94474025999</v>
      </c>
      <c r="T12" s="188">
        <f>P12+P16+P20</f>
        <v>264094.49999030004</v>
      </c>
      <c r="U12" s="69">
        <v>2020</v>
      </c>
      <c r="W12" s="189">
        <f>293953.6/3290</f>
        <v>89.347598784194517</v>
      </c>
      <c r="X12" s="188"/>
    </row>
    <row r="13" spans="1:24" x14ac:dyDescent="0.25">
      <c r="A13" s="179" t="s">
        <v>235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1"/>
      <c r="R13" s="26"/>
      <c r="S13" s="26"/>
      <c r="T13" s="188">
        <f>Q12+Q16+Q20</f>
        <v>297480.80000001501</v>
      </c>
      <c r="U13" s="69">
        <v>2021</v>
      </c>
      <c r="X13" s="188"/>
    </row>
    <row r="14" spans="1:24" x14ac:dyDescent="0.25">
      <c r="A14" s="125" t="s">
        <v>228</v>
      </c>
      <c r="B14" s="182" t="s">
        <v>236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4"/>
      <c r="R14" s="26"/>
      <c r="S14" s="26"/>
      <c r="T14" s="188"/>
      <c r="V14" s="69">
        <v>2022</v>
      </c>
      <c r="W14" s="188">
        <f>R12+R16+R20</f>
        <v>282458.60001180001</v>
      </c>
      <c r="X14" s="188"/>
    </row>
    <row r="15" spans="1:24" x14ac:dyDescent="0.25">
      <c r="A15" s="185" t="s">
        <v>234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7"/>
      <c r="R15" s="26"/>
      <c r="S15" s="26"/>
      <c r="T15" s="188">
        <v>282458.5</v>
      </c>
      <c r="U15" s="69">
        <v>2022</v>
      </c>
      <c r="W15" s="189">
        <f>282458.5/3290</f>
        <v>85.853647416413381</v>
      </c>
    </row>
    <row r="16" spans="1:24" ht="31.5" x14ac:dyDescent="0.25">
      <c r="A16" s="177" t="s">
        <v>231</v>
      </c>
      <c r="B16" s="21">
        <v>1284</v>
      </c>
      <c r="C16" s="21">
        <v>1377</v>
      </c>
      <c r="D16" s="21">
        <v>1433</v>
      </c>
      <c r="E16" s="21">
        <v>1086</v>
      </c>
      <c r="F16" s="21">
        <v>1419</v>
      </c>
      <c r="G16" s="21">
        <v>1419</v>
      </c>
      <c r="H16" s="21">
        <v>1450</v>
      </c>
      <c r="I16" s="21">
        <v>1471</v>
      </c>
      <c r="J16" s="28">
        <v>59652</v>
      </c>
      <c r="K16" s="20">
        <v>62873.2</v>
      </c>
      <c r="L16" s="20">
        <v>82739.399999999994</v>
      </c>
      <c r="M16" s="28">
        <v>93320</v>
      </c>
      <c r="N16" s="28">
        <f>70.55*F16</f>
        <v>100110.45</v>
      </c>
      <c r="O16" s="28">
        <f>82.468081*1419</f>
        <v>117022.206939</v>
      </c>
      <c r="P16" s="20">
        <f>81.4854983*H16</f>
        <v>118153.97253500001</v>
      </c>
      <c r="Q16" s="178">
        <f>90.4196656535*I16</f>
        <v>133007.3281762985</v>
      </c>
      <c r="R16" s="28">
        <f>85.85364742*I16</f>
        <v>126290.71535482</v>
      </c>
      <c r="S16" s="190">
        <f>86.93243161*I16</f>
        <v>127877.60689831</v>
      </c>
      <c r="T16" s="188">
        <f>S12+S16+S20</f>
        <v>286007.79999689996</v>
      </c>
      <c r="U16" s="69">
        <v>2023</v>
      </c>
    </row>
    <row r="17" spans="1:24" x14ac:dyDescent="0.25">
      <c r="A17" s="179" t="s">
        <v>237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1"/>
      <c r="R17" s="26"/>
      <c r="S17" s="26"/>
    </row>
    <row r="18" spans="1:24" x14ac:dyDescent="0.25">
      <c r="A18" s="125" t="s">
        <v>228</v>
      </c>
      <c r="B18" s="182" t="s">
        <v>238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4"/>
      <c r="R18" s="191"/>
      <c r="S18" s="26"/>
      <c r="U18" s="192"/>
      <c r="V18" s="69">
        <v>2023</v>
      </c>
      <c r="W18" s="188">
        <f>S12+S16+S20</f>
        <v>286007.79999689996</v>
      </c>
    </row>
    <row r="19" spans="1:24" x14ac:dyDescent="0.25">
      <c r="A19" s="185" t="s">
        <v>234</v>
      </c>
      <c r="B19" s="186">
        <v>338</v>
      </c>
      <c r="C19" s="186">
        <v>309</v>
      </c>
      <c r="D19" s="186">
        <v>277</v>
      </c>
      <c r="E19" s="186">
        <v>270</v>
      </c>
      <c r="F19" s="186">
        <v>388</v>
      </c>
      <c r="G19" s="186">
        <v>388</v>
      </c>
      <c r="H19" s="186">
        <v>388</v>
      </c>
      <c r="I19" s="186"/>
      <c r="J19" s="186">
        <v>14085.156999999999</v>
      </c>
      <c r="K19" s="186">
        <v>14845.7</v>
      </c>
      <c r="L19" s="186">
        <v>16243.5</v>
      </c>
      <c r="M19" s="186">
        <f>23201.1-13.98</f>
        <v>23187.119999999999</v>
      </c>
      <c r="N19" s="186">
        <f>70.55*F19-3.5</f>
        <v>27369.899999999998</v>
      </c>
      <c r="O19" s="186">
        <f>66.55*G19+49.5</f>
        <v>25870.899999999998</v>
      </c>
      <c r="P19" s="186">
        <f>O19</f>
        <v>25870.899999999998</v>
      </c>
      <c r="Q19" s="187">
        <f>P19</f>
        <v>25870.899999999998</v>
      </c>
      <c r="R19" s="26"/>
      <c r="S19" s="26"/>
      <c r="W19" s="69">
        <f>286007.7/3290</f>
        <v>86.93243161094226</v>
      </c>
    </row>
    <row r="20" spans="1:24" ht="31.5" x14ac:dyDescent="0.25">
      <c r="A20" s="177" t="s">
        <v>231</v>
      </c>
      <c r="B20" s="20">
        <v>338</v>
      </c>
      <c r="C20" s="20">
        <v>309</v>
      </c>
      <c r="D20" s="20">
        <v>277</v>
      </c>
      <c r="E20" s="20">
        <v>270</v>
      </c>
      <c r="F20" s="20">
        <v>388</v>
      </c>
      <c r="G20" s="20">
        <v>388</v>
      </c>
      <c r="H20" s="20">
        <v>382</v>
      </c>
      <c r="I20" s="20">
        <v>353</v>
      </c>
      <c r="J20" s="20">
        <v>14085.156999999999</v>
      </c>
      <c r="K20" s="20">
        <v>14845.7</v>
      </c>
      <c r="L20" s="28">
        <v>16243.5</v>
      </c>
      <c r="M20" s="28">
        <f>23201.1-13.98</f>
        <v>23187.119999999999</v>
      </c>
      <c r="N20" s="28">
        <f>70.55*F20-3.5</f>
        <v>27369.899999999998</v>
      </c>
      <c r="O20" s="28">
        <v>33657</v>
      </c>
      <c r="P20" s="20">
        <f>81.4854983*H20</f>
        <v>31127.460350600002</v>
      </c>
      <c r="Q20" s="178">
        <f>90.4196656535*I20+0.1</f>
        <v>31918.241975685502</v>
      </c>
      <c r="R20" s="28">
        <f>85.85364742*I20+0.1</f>
        <v>30306.437539259998</v>
      </c>
      <c r="S20" s="190">
        <f>86.93243161*I20+0.1</f>
        <v>30687.248358329998</v>
      </c>
      <c r="T20" s="69">
        <v>297480.7</v>
      </c>
      <c r="U20" s="193">
        <f>T20/3290</f>
        <v>90.419665653495443</v>
      </c>
    </row>
    <row r="21" spans="1:24" x14ac:dyDescent="0.25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1"/>
      <c r="R21" s="191"/>
      <c r="S21" s="191"/>
    </row>
    <row r="22" spans="1:24" x14ac:dyDescent="0.25">
      <c r="A22" s="125" t="s">
        <v>228</v>
      </c>
      <c r="B22" s="182" t="s">
        <v>239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4"/>
      <c r="R22" s="191"/>
      <c r="S22" s="26"/>
    </row>
    <row r="23" spans="1:24" x14ac:dyDescent="0.25">
      <c r="A23" s="185" t="s">
        <v>240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7"/>
      <c r="R23" s="26"/>
      <c r="S23" s="26"/>
      <c r="T23" s="188"/>
    </row>
    <row r="24" spans="1:24" ht="31.5" x14ac:dyDescent="0.25">
      <c r="A24" s="177" t="s">
        <v>231</v>
      </c>
      <c r="B24" s="20">
        <v>2859</v>
      </c>
      <c r="C24" s="20">
        <v>2860</v>
      </c>
      <c r="D24" s="20">
        <v>2850</v>
      </c>
      <c r="E24" s="20">
        <v>2783</v>
      </c>
      <c r="F24" s="20">
        <v>2783</v>
      </c>
      <c r="G24" s="20">
        <v>2783</v>
      </c>
      <c r="H24" s="20">
        <v>2783</v>
      </c>
      <c r="I24" s="20">
        <v>2783</v>
      </c>
      <c r="J24" s="28">
        <v>6990.7</v>
      </c>
      <c r="K24" s="20">
        <v>7764.9</v>
      </c>
      <c r="L24" s="20">
        <v>7414.4</v>
      </c>
      <c r="M24" s="20">
        <v>8058.3</v>
      </c>
      <c r="N24" s="20">
        <v>7980.8</v>
      </c>
      <c r="O24" s="20">
        <v>8394.1</v>
      </c>
      <c r="P24" s="20">
        <v>0</v>
      </c>
      <c r="Q24" s="194">
        <v>9578.2000000000007</v>
      </c>
      <c r="R24" s="20">
        <v>7114.9</v>
      </c>
      <c r="S24" s="41">
        <f>R24</f>
        <v>7114.9</v>
      </c>
      <c r="U24" s="188"/>
      <c r="X24" s="188">
        <f>Q12+Q16+Q20</f>
        <v>297480.80000001501</v>
      </c>
    </row>
    <row r="25" spans="1:24" x14ac:dyDescent="0.25">
      <c r="A25" s="179" t="s">
        <v>241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1"/>
      <c r="R25" s="191"/>
      <c r="S25" s="26"/>
    </row>
    <row r="26" spans="1:24" x14ac:dyDescent="0.25">
      <c r="A26" s="125" t="s">
        <v>228</v>
      </c>
      <c r="B26" s="182" t="s">
        <v>242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4"/>
      <c r="R26" s="191"/>
      <c r="S26" s="26"/>
    </row>
    <row r="27" spans="1:24" x14ac:dyDescent="0.25">
      <c r="A27" s="185" t="s">
        <v>234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7"/>
      <c r="R27" s="26"/>
      <c r="S27" s="26"/>
    </row>
    <row r="28" spans="1:24" ht="31.5" x14ac:dyDescent="0.25">
      <c r="A28" s="177" t="s">
        <v>231</v>
      </c>
      <c r="B28" s="41">
        <v>1760</v>
      </c>
      <c r="C28" s="41">
        <v>1718</v>
      </c>
      <c r="D28" s="41">
        <v>1663</v>
      </c>
      <c r="E28" s="41">
        <v>1639</v>
      </c>
      <c r="F28" s="41">
        <v>1639</v>
      </c>
      <c r="G28" s="41">
        <v>1639</v>
      </c>
      <c r="H28" s="41">
        <v>1639</v>
      </c>
      <c r="I28" s="41">
        <v>1600</v>
      </c>
      <c r="J28" s="41">
        <v>24540.2</v>
      </c>
      <c r="K28" s="41">
        <v>27318.799999999999</v>
      </c>
      <c r="L28" s="190">
        <v>37615.9</v>
      </c>
      <c r="M28" s="190">
        <v>34556.199999999997</v>
      </c>
      <c r="N28" s="190">
        <v>32389.599999999999</v>
      </c>
      <c r="O28" s="41">
        <v>33657</v>
      </c>
      <c r="P28" s="41">
        <v>35799.699999999997</v>
      </c>
      <c r="Q28" s="195">
        <v>40854.1</v>
      </c>
      <c r="R28" s="41">
        <v>37564.6</v>
      </c>
      <c r="S28" s="41">
        <f>R28</f>
        <v>37564.6</v>
      </c>
    </row>
    <row r="29" spans="1:24" x14ac:dyDescent="0.25">
      <c r="A29" s="168" t="s">
        <v>243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70"/>
    </row>
    <row r="30" spans="1:24" x14ac:dyDescent="0.25">
      <c r="A30" s="112" t="s">
        <v>228</v>
      </c>
      <c r="B30" s="171" t="s">
        <v>244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3"/>
    </row>
    <row r="31" spans="1:24" x14ac:dyDescent="0.25">
      <c r="A31" s="174" t="s">
        <v>234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6"/>
    </row>
    <row r="32" spans="1:24" ht="31.5" x14ac:dyDescent="0.25">
      <c r="A32" s="16" t="s">
        <v>231</v>
      </c>
      <c r="B32" s="13">
        <v>272</v>
      </c>
      <c r="C32" s="13">
        <v>272</v>
      </c>
      <c r="D32" s="13">
        <v>272</v>
      </c>
      <c r="E32" s="13">
        <v>509</v>
      </c>
      <c r="F32" s="13">
        <v>520</v>
      </c>
      <c r="G32" s="13">
        <v>520</v>
      </c>
      <c r="H32" s="13">
        <v>520</v>
      </c>
      <c r="I32" s="20">
        <v>520</v>
      </c>
      <c r="J32" s="19">
        <v>1840.2</v>
      </c>
      <c r="K32" s="19">
        <v>1939.6</v>
      </c>
      <c r="L32" s="19">
        <v>760.7</v>
      </c>
      <c r="M32" s="19">
        <f>415+1197.4</f>
        <v>1612.4</v>
      </c>
      <c r="N32" s="19">
        <f>444+1240.7</f>
        <v>1684.7</v>
      </c>
      <c r="O32" s="19">
        <f>444+1240.7</f>
        <v>1684.7</v>
      </c>
      <c r="P32" s="28">
        <f>444+1240.7</f>
        <v>1684.7</v>
      </c>
      <c r="Q32" s="19">
        <f>444+1240.7</f>
        <v>1684.7</v>
      </c>
      <c r="R32" s="19">
        <f>444+1240.7</f>
        <v>1684.7</v>
      </c>
      <c r="S32" s="196">
        <f>R32</f>
        <v>1684.7</v>
      </c>
    </row>
    <row r="34" spans="1:16" x14ac:dyDescent="0.25">
      <c r="O34" s="197"/>
      <c r="P34" s="191"/>
    </row>
    <row r="35" spans="1:16" x14ac:dyDescent="0.25">
      <c r="A35" s="69" t="s">
        <v>159</v>
      </c>
      <c r="L35" s="198" t="s">
        <v>160</v>
      </c>
      <c r="M35" s="198"/>
      <c r="N35" s="198"/>
      <c r="O35" s="198"/>
      <c r="P35" s="198"/>
    </row>
  </sheetData>
  <mergeCells count="27">
    <mergeCell ref="B30:Q30"/>
    <mergeCell ref="A31:Q31"/>
    <mergeCell ref="L35:P35"/>
    <mergeCell ref="B22:Q22"/>
    <mergeCell ref="A23:Q23"/>
    <mergeCell ref="A25:Q25"/>
    <mergeCell ref="B26:Q26"/>
    <mergeCell ref="A27:Q27"/>
    <mergeCell ref="A29:Q29"/>
    <mergeCell ref="B14:Q14"/>
    <mergeCell ref="A15:Q15"/>
    <mergeCell ref="A17:Q17"/>
    <mergeCell ref="B18:Q18"/>
    <mergeCell ref="A19:Q19"/>
    <mergeCell ref="A21:Q21"/>
    <mergeCell ref="B6:Q6"/>
    <mergeCell ref="A7:Q7"/>
    <mergeCell ref="A9:Q9"/>
    <mergeCell ref="B10:Q10"/>
    <mergeCell ref="A11:Q11"/>
    <mergeCell ref="A13:Q13"/>
    <mergeCell ref="J1:Q1"/>
    <mergeCell ref="A2:Q2"/>
    <mergeCell ref="A3:A4"/>
    <mergeCell ref="B3:H3"/>
    <mergeCell ref="J3:R3"/>
    <mergeCell ref="A5:Q5"/>
  </mergeCells>
  <pageMargins left="0.51181102362204722" right="0.51181102362204722" top="0.55118110236220474" bottom="0.35433070866141736" header="0.31496062992125984" footer="0.31496062992125984"/>
  <pageSetup paperSize="9" scale="60" fitToHeight="26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J13" sqref="J13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7" width="11.42578125" style="4" customWidth="1"/>
    <col min="8" max="10" width="11.42578125" style="26" customWidth="1"/>
    <col min="11" max="11" width="9.140625" style="26"/>
    <col min="12" max="12" width="9.140625" style="4"/>
    <col min="13" max="13" width="10.7109375" style="4" customWidth="1"/>
    <col min="14" max="16384" width="9.140625" style="4"/>
  </cols>
  <sheetData>
    <row r="1" spans="1:17" ht="51.75" customHeight="1" x14ac:dyDescent="0.25">
      <c r="B1" s="2"/>
      <c r="C1" s="3"/>
      <c r="E1" s="5" t="s">
        <v>245</v>
      </c>
      <c r="F1" s="5"/>
      <c r="G1" s="5"/>
      <c r="H1" s="5"/>
      <c r="I1" s="5"/>
      <c r="J1" s="5"/>
      <c r="N1" s="26"/>
    </row>
    <row r="2" spans="1:17" ht="37.5" customHeight="1" x14ac:dyDescent="0.25">
      <c r="A2" s="142" t="s">
        <v>246</v>
      </c>
      <c r="B2" s="142"/>
      <c r="C2" s="142"/>
      <c r="D2" s="142"/>
      <c r="E2" s="142"/>
      <c r="F2" s="142"/>
      <c r="G2" s="142"/>
      <c r="H2" s="142"/>
      <c r="I2" s="142"/>
      <c r="J2" s="142"/>
      <c r="N2" s="26"/>
    </row>
    <row r="3" spans="1:17" ht="25.5" customHeight="1" x14ac:dyDescent="0.25">
      <c r="A3" s="199" t="s">
        <v>2</v>
      </c>
      <c r="B3" s="74" t="s">
        <v>247</v>
      </c>
      <c r="C3" s="74" t="s">
        <v>4</v>
      </c>
      <c r="D3" s="74" t="s">
        <v>6</v>
      </c>
      <c r="E3" s="74" t="s">
        <v>8</v>
      </c>
      <c r="F3" s="74" t="s">
        <v>9</v>
      </c>
      <c r="G3" s="74" t="s">
        <v>10</v>
      </c>
      <c r="H3" s="143" t="s">
        <v>11</v>
      </c>
      <c r="I3" s="143" t="s">
        <v>12</v>
      </c>
      <c r="J3" s="143" t="s">
        <v>13</v>
      </c>
      <c r="K3" s="143" t="s">
        <v>14</v>
      </c>
      <c r="L3" s="143" t="s">
        <v>15</v>
      </c>
      <c r="M3" s="143" t="s">
        <v>16</v>
      </c>
      <c r="N3" s="143" t="s">
        <v>17</v>
      </c>
    </row>
    <row r="4" spans="1:17" ht="25.5" customHeight="1" x14ac:dyDescent="0.25">
      <c r="A4" s="200"/>
      <c r="B4" s="127"/>
      <c r="C4" s="127"/>
      <c r="D4" s="127"/>
      <c r="E4" s="201"/>
      <c r="F4" s="202"/>
      <c r="G4" s="127"/>
      <c r="H4" s="145"/>
      <c r="I4" s="145"/>
      <c r="J4" s="145"/>
      <c r="K4" s="145"/>
      <c r="L4" s="145"/>
      <c r="M4" s="145"/>
      <c r="N4" s="145"/>
    </row>
    <row r="5" spans="1:17" ht="25.5" customHeight="1" x14ac:dyDescent="0.25">
      <c r="A5" s="203"/>
      <c r="B5" s="79"/>
      <c r="C5" s="79"/>
      <c r="D5" s="79"/>
      <c r="E5" s="204"/>
      <c r="F5" s="205"/>
      <c r="G5" s="79"/>
      <c r="H5" s="206"/>
      <c r="I5" s="206"/>
      <c r="J5" s="206"/>
      <c r="K5" s="206"/>
      <c r="L5" s="206"/>
      <c r="M5" s="206"/>
      <c r="N5" s="206"/>
    </row>
    <row r="6" spans="1:17" ht="39.75" customHeight="1" x14ac:dyDescent="0.25">
      <c r="A6" s="207" t="s">
        <v>248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N6" s="26"/>
    </row>
    <row r="7" spans="1:17" ht="33" customHeight="1" x14ac:dyDescent="0.25">
      <c r="A7" s="209" t="s">
        <v>249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N7" s="26"/>
    </row>
    <row r="8" spans="1:17" ht="47.25" customHeight="1" x14ac:dyDescent="0.25">
      <c r="A8" s="211" t="s">
        <v>250</v>
      </c>
      <c r="B8" s="37" t="s">
        <v>34</v>
      </c>
      <c r="C8" s="20" t="s">
        <v>20</v>
      </c>
      <c r="D8" s="27" t="s">
        <v>35</v>
      </c>
      <c r="E8" s="212">
        <v>90.1</v>
      </c>
      <c r="F8" s="213">
        <v>97.5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100</v>
      </c>
      <c r="N8" s="28">
        <v>100</v>
      </c>
    </row>
    <row r="9" spans="1:17" ht="72.75" customHeight="1" x14ac:dyDescent="0.25">
      <c r="A9" s="211" t="s">
        <v>251</v>
      </c>
      <c r="B9" s="37" t="s">
        <v>37</v>
      </c>
      <c r="C9" s="20" t="s">
        <v>20</v>
      </c>
      <c r="D9" s="214" t="s">
        <v>35</v>
      </c>
      <c r="E9" s="14">
        <v>85</v>
      </c>
      <c r="F9" s="21">
        <v>97</v>
      </c>
      <c r="G9" s="215">
        <v>100</v>
      </c>
      <c r="H9" s="215">
        <v>100</v>
      </c>
      <c r="I9" s="215">
        <v>100</v>
      </c>
      <c r="J9" s="215">
        <v>100</v>
      </c>
      <c r="K9" s="215">
        <v>100</v>
      </c>
      <c r="L9" s="28">
        <v>100</v>
      </c>
      <c r="M9" s="28">
        <v>100</v>
      </c>
      <c r="N9" s="28">
        <v>100</v>
      </c>
    </row>
    <row r="10" spans="1:17" ht="105" customHeight="1" x14ac:dyDescent="0.25">
      <c r="A10" s="211" t="s">
        <v>252</v>
      </c>
      <c r="B10" s="37" t="s">
        <v>253</v>
      </c>
      <c r="C10" s="20" t="s">
        <v>20</v>
      </c>
      <c r="D10" s="27" t="s">
        <v>35</v>
      </c>
      <c r="E10" s="216">
        <v>0</v>
      </c>
      <c r="F10" s="217">
        <v>0</v>
      </c>
      <c r="G10" s="28">
        <v>0</v>
      </c>
      <c r="H10" s="28">
        <v>100</v>
      </c>
      <c r="I10" s="28">
        <v>100</v>
      </c>
      <c r="J10" s="28">
        <v>100</v>
      </c>
      <c r="K10" s="28">
        <v>100</v>
      </c>
      <c r="L10" s="28">
        <v>100</v>
      </c>
      <c r="M10" s="28">
        <v>100</v>
      </c>
      <c r="N10" s="28">
        <v>100</v>
      </c>
      <c r="O10" s="218"/>
      <c r="P10" s="218"/>
      <c r="Q10" s="218"/>
    </row>
    <row r="11" spans="1:17" ht="118.5" customHeight="1" x14ac:dyDescent="0.25">
      <c r="A11" s="211" t="s">
        <v>254</v>
      </c>
      <c r="B11" s="12" t="s">
        <v>255</v>
      </c>
      <c r="C11" s="20" t="s">
        <v>20</v>
      </c>
      <c r="D11" s="27" t="s">
        <v>35</v>
      </c>
      <c r="E11" s="13" t="s">
        <v>43</v>
      </c>
      <c r="F11" s="28" t="s">
        <v>44</v>
      </c>
      <c r="G11" s="28">
        <v>0</v>
      </c>
      <c r="H11" s="28">
        <v>0</v>
      </c>
      <c r="I11" s="28" t="s">
        <v>44</v>
      </c>
      <c r="J11" s="28" t="s">
        <v>44</v>
      </c>
      <c r="K11" s="28" t="s">
        <v>44</v>
      </c>
      <c r="L11" s="28" t="s">
        <v>44</v>
      </c>
      <c r="M11" s="28" t="s">
        <v>44</v>
      </c>
      <c r="N11" s="28" t="s">
        <v>44</v>
      </c>
      <c r="O11" s="218"/>
      <c r="P11" s="218"/>
      <c r="Q11" s="218"/>
    </row>
    <row r="12" spans="1:17" ht="20.25" customHeight="1" x14ac:dyDescent="0.25">
      <c r="A12" s="219"/>
      <c r="B12" s="220"/>
      <c r="C12" s="10"/>
      <c r="D12" s="221"/>
      <c r="E12" s="221"/>
      <c r="F12" s="221"/>
      <c r="G12" s="221"/>
      <c r="H12" s="222"/>
      <c r="I12" s="222"/>
      <c r="J12" s="222"/>
      <c r="N12" s="26"/>
    </row>
    <row r="13" spans="1:17" ht="26.25" customHeight="1" x14ac:dyDescent="0.25">
      <c r="A13" s="223" t="s">
        <v>159</v>
      </c>
      <c r="B13" s="223"/>
      <c r="C13" s="223"/>
      <c r="G13" s="158"/>
      <c r="H13" s="224" t="s">
        <v>256</v>
      </c>
      <c r="I13" s="224"/>
      <c r="J13" s="225"/>
      <c r="N13" s="26"/>
    </row>
  </sheetData>
  <mergeCells count="18">
    <mergeCell ref="A6:L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3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105"/>
  <sheetViews>
    <sheetView view="pageBreakPreview" zoomScale="98" zoomScaleNormal="98" zoomScaleSheetLayoutView="98" workbookViewId="0">
      <pane xSplit="3" ySplit="6" topLeftCell="D58" activePane="bottomRight" state="frozen"/>
      <selection activeCell="Q12" sqref="Q12"/>
      <selection pane="topRight" activeCell="Q12" sqref="Q12"/>
      <selection pane="bottomLeft" activeCell="Q12" sqref="Q12"/>
      <selection pane="bottomRight" activeCell="S67" sqref="S67"/>
    </sheetView>
  </sheetViews>
  <sheetFormatPr defaultColWidth="9.28515625" defaultRowHeight="15.75" x14ac:dyDescent="0.25"/>
  <cols>
    <col min="1" max="1" width="8.42578125" style="301" hidden="1" customWidth="1"/>
    <col min="2" max="2" width="60.7109375" style="4" hidden="1" customWidth="1"/>
    <col min="3" max="3" width="33.7109375" style="302" customWidth="1"/>
    <col min="4" max="5" width="9.28515625" style="303"/>
    <col min="6" max="6" width="13.85546875" style="303" bestFit="1" customWidth="1"/>
    <col min="7" max="7" width="9.28515625" style="303"/>
    <col min="8" max="8" width="14.28515625" style="303" customWidth="1"/>
    <col min="9" max="10" width="17.7109375" style="26" hidden="1" customWidth="1"/>
    <col min="11" max="13" width="18.28515625" style="26" hidden="1" customWidth="1"/>
    <col min="14" max="17" width="18.28515625" style="26" customWidth="1"/>
    <col min="18" max="18" width="17.7109375" style="26" customWidth="1"/>
    <col min="19" max="19" width="55.5703125" style="4" customWidth="1"/>
    <col min="20" max="16384" width="9.28515625" style="4"/>
  </cols>
  <sheetData>
    <row r="1" spans="1:19" s="92" customFormat="1" ht="75" customHeight="1" x14ac:dyDescent="0.25">
      <c r="A1" s="226"/>
      <c r="B1" s="227"/>
      <c r="C1" s="228"/>
      <c r="D1" s="229"/>
      <c r="E1" s="229"/>
      <c r="F1" s="229"/>
      <c r="G1" s="229"/>
      <c r="H1" s="229"/>
      <c r="I1" s="230"/>
      <c r="J1" s="230"/>
      <c r="K1" s="59"/>
      <c r="L1" s="59"/>
      <c r="M1" s="59"/>
      <c r="N1" s="59"/>
      <c r="O1" s="59"/>
      <c r="P1" s="59"/>
      <c r="Q1" s="59"/>
      <c r="R1" s="231" t="s">
        <v>257</v>
      </c>
      <c r="S1" s="231"/>
    </row>
    <row r="2" spans="1:19" s="92" customFormat="1" ht="23.25" customHeight="1" x14ac:dyDescent="0.25">
      <c r="A2" s="232" t="s">
        <v>258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19" s="92" customFormat="1" ht="24.75" customHeight="1" x14ac:dyDescent="0.25">
      <c r="A3" s="9" t="s">
        <v>2</v>
      </c>
      <c r="B3" s="9" t="s">
        <v>259</v>
      </c>
      <c r="C3" s="9" t="s">
        <v>177</v>
      </c>
      <c r="D3" s="144" t="s">
        <v>175</v>
      </c>
      <c r="E3" s="144"/>
      <c r="F3" s="144"/>
      <c r="G3" s="144"/>
      <c r="H3" s="21"/>
      <c r="I3" s="144" t="s">
        <v>176</v>
      </c>
      <c r="J3" s="144"/>
      <c r="K3" s="144"/>
      <c r="L3" s="144"/>
      <c r="M3" s="144"/>
      <c r="N3" s="144"/>
      <c r="O3" s="144"/>
      <c r="P3" s="144"/>
      <c r="Q3" s="144"/>
      <c r="R3" s="144"/>
      <c r="S3" s="9" t="s">
        <v>260</v>
      </c>
    </row>
    <row r="4" spans="1:19" s="92" customFormat="1" ht="42" customHeight="1" x14ac:dyDescent="0.25">
      <c r="A4" s="9"/>
      <c r="B4" s="9"/>
      <c r="C4" s="9"/>
      <c r="D4" s="21" t="s">
        <v>177</v>
      </c>
      <c r="E4" s="21" t="s">
        <v>178</v>
      </c>
      <c r="F4" s="21" t="s">
        <v>179</v>
      </c>
      <c r="G4" s="21" t="s">
        <v>180</v>
      </c>
      <c r="H4" s="21">
        <v>2014</v>
      </c>
      <c r="I4" s="21">
        <v>2015</v>
      </c>
      <c r="J4" s="21">
        <v>2016</v>
      </c>
      <c r="K4" s="21">
        <v>2017</v>
      </c>
      <c r="L4" s="21">
        <v>2018</v>
      </c>
      <c r="M4" s="21">
        <v>2019</v>
      </c>
      <c r="N4" s="21">
        <v>2020</v>
      </c>
      <c r="O4" s="21">
        <v>2021</v>
      </c>
      <c r="P4" s="21">
        <v>2022</v>
      </c>
      <c r="Q4" s="21">
        <v>2023</v>
      </c>
      <c r="R4" s="21" t="s">
        <v>181</v>
      </c>
      <c r="S4" s="9"/>
    </row>
    <row r="5" spans="1:19" ht="26.25" customHeight="1" x14ac:dyDescent="0.25">
      <c r="A5" s="122" t="s">
        <v>248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</row>
    <row r="6" spans="1:19" ht="24" customHeight="1" x14ac:dyDescent="0.25">
      <c r="A6" s="233" t="s">
        <v>249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</row>
    <row r="7" spans="1:19" ht="24.95" customHeight="1" x14ac:dyDescent="0.25">
      <c r="A7" s="199" t="s">
        <v>33</v>
      </c>
      <c r="B7" s="234" t="s">
        <v>261</v>
      </c>
      <c r="C7" s="199" t="s">
        <v>262</v>
      </c>
      <c r="D7" s="235" t="s">
        <v>188</v>
      </c>
      <c r="E7" s="235" t="s">
        <v>263</v>
      </c>
      <c r="F7" s="235" t="s">
        <v>264</v>
      </c>
      <c r="G7" s="235" t="s">
        <v>265</v>
      </c>
      <c r="H7" s="236">
        <v>69765.3</v>
      </c>
      <c r="I7" s="236">
        <v>78566.5</v>
      </c>
      <c r="J7" s="236">
        <v>53980.2</v>
      </c>
      <c r="K7" s="236">
        <v>48275.5</v>
      </c>
      <c r="L7" s="236">
        <v>47527.3</v>
      </c>
      <c r="M7" s="236">
        <v>50883.5</v>
      </c>
      <c r="N7" s="236">
        <f>46469-53.6</f>
        <v>46415.4</v>
      </c>
      <c r="O7" s="237">
        <v>5656.8</v>
      </c>
      <c r="P7" s="236">
        <v>4048.4</v>
      </c>
      <c r="Q7" s="236">
        <f>P7</f>
        <v>4048.4</v>
      </c>
      <c r="R7" s="236">
        <f>SUM(H7:Q7)</f>
        <v>409167.30000000005</v>
      </c>
      <c r="S7" s="74" t="s">
        <v>266</v>
      </c>
    </row>
    <row r="8" spans="1:19" ht="24.95" customHeight="1" x14ac:dyDescent="0.25">
      <c r="A8" s="200"/>
      <c r="B8" s="238"/>
      <c r="C8" s="200"/>
      <c r="D8" s="235" t="s">
        <v>188</v>
      </c>
      <c r="E8" s="235" t="s">
        <v>263</v>
      </c>
      <c r="F8" s="235" t="s">
        <v>264</v>
      </c>
      <c r="G8" s="235" t="s">
        <v>267</v>
      </c>
      <c r="H8" s="236">
        <v>2247.3000000000002</v>
      </c>
      <c r="I8" s="236">
        <v>6941.5</v>
      </c>
      <c r="J8" s="236">
        <v>7305.1</v>
      </c>
      <c r="K8" s="236">
        <v>3060.4</v>
      </c>
      <c r="L8" s="236">
        <v>788.7</v>
      </c>
      <c r="M8" s="236">
        <v>2751.6</v>
      </c>
      <c r="N8" s="236">
        <f>3804.6+382</f>
        <v>4186.6000000000004</v>
      </c>
      <c r="O8" s="237">
        <v>7706.4</v>
      </c>
      <c r="P8" s="236">
        <v>572.9</v>
      </c>
      <c r="Q8" s="236">
        <f t="shared" ref="Q8:Q62" si="0">P8</f>
        <v>572.9</v>
      </c>
      <c r="R8" s="236">
        <f t="shared" ref="R8:R65" si="1">SUM(H8:Q8)</f>
        <v>36133.400000000009</v>
      </c>
      <c r="S8" s="127"/>
    </row>
    <row r="9" spans="1:19" ht="24.95" customHeight="1" x14ac:dyDescent="0.25">
      <c r="A9" s="200"/>
      <c r="B9" s="238"/>
      <c r="C9" s="200"/>
      <c r="D9" s="235" t="s">
        <v>188</v>
      </c>
      <c r="E9" s="235" t="s">
        <v>263</v>
      </c>
      <c r="F9" s="235" t="s">
        <v>264</v>
      </c>
      <c r="G9" s="235" t="s">
        <v>268</v>
      </c>
      <c r="H9" s="236">
        <v>11537</v>
      </c>
      <c r="I9" s="236">
        <v>12269.9</v>
      </c>
      <c r="J9" s="236">
        <v>8827.4</v>
      </c>
      <c r="K9" s="236">
        <v>7585.8</v>
      </c>
      <c r="L9" s="236">
        <v>7298.7</v>
      </c>
      <c r="M9" s="236">
        <v>7606.8</v>
      </c>
      <c r="N9" s="236">
        <v>6945.3</v>
      </c>
      <c r="O9" s="237">
        <v>1289.0999999999999</v>
      </c>
      <c r="P9" s="236">
        <v>440.3</v>
      </c>
      <c r="Q9" s="236">
        <f t="shared" si="0"/>
        <v>440.3</v>
      </c>
      <c r="R9" s="236">
        <f t="shared" si="1"/>
        <v>64240.600000000013</v>
      </c>
      <c r="S9" s="127"/>
    </row>
    <row r="10" spans="1:19" ht="24.95" customHeight="1" x14ac:dyDescent="0.25">
      <c r="A10" s="200"/>
      <c r="B10" s="238"/>
      <c r="C10" s="200"/>
      <c r="D10" s="235" t="s">
        <v>188</v>
      </c>
      <c r="E10" s="235" t="s">
        <v>263</v>
      </c>
      <c r="F10" s="235" t="s">
        <v>264</v>
      </c>
      <c r="G10" s="235" t="s">
        <v>269</v>
      </c>
      <c r="H10" s="236">
        <v>180</v>
      </c>
      <c r="I10" s="236">
        <v>1248.0999999999999</v>
      </c>
      <c r="J10" s="236">
        <v>101.9</v>
      </c>
      <c r="K10" s="236">
        <v>10</v>
      </c>
      <c r="L10" s="236"/>
      <c r="M10" s="236"/>
      <c r="N10" s="236"/>
      <c r="O10" s="236"/>
      <c r="P10" s="236">
        <f>O10</f>
        <v>0</v>
      </c>
      <c r="Q10" s="236">
        <f t="shared" si="0"/>
        <v>0</v>
      </c>
      <c r="R10" s="236">
        <f t="shared" si="1"/>
        <v>1540</v>
      </c>
      <c r="S10" s="127"/>
    </row>
    <row r="11" spans="1:19" ht="24.95" customHeight="1" x14ac:dyDescent="0.25">
      <c r="A11" s="200"/>
      <c r="B11" s="238"/>
      <c r="C11" s="200"/>
      <c r="D11" s="235" t="s">
        <v>188</v>
      </c>
      <c r="E11" s="235" t="s">
        <v>263</v>
      </c>
      <c r="F11" s="235" t="s">
        <v>270</v>
      </c>
      <c r="G11" s="235" t="s">
        <v>265</v>
      </c>
      <c r="H11" s="236"/>
      <c r="I11" s="236"/>
      <c r="J11" s="236"/>
      <c r="K11" s="236"/>
      <c r="L11" s="236"/>
      <c r="M11" s="236"/>
      <c r="N11" s="236"/>
      <c r="O11" s="237">
        <v>17052.2</v>
      </c>
      <c r="P11" s="236">
        <v>18575.099999999999</v>
      </c>
      <c r="Q11" s="236">
        <f t="shared" si="0"/>
        <v>18575.099999999999</v>
      </c>
      <c r="R11" s="236">
        <f t="shared" si="1"/>
        <v>54202.400000000001</v>
      </c>
      <c r="S11" s="127"/>
    </row>
    <row r="12" spans="1:19" ht="24.95" customHeight="1" x14ac:dyDescent="0.25">
      <c r="A12" s="200"/>
      <c r="B12" s="238"/>
      <c r="C12" s="200"/>
      <c r="D12" s="235" t="s">
        <v>188</v>
      </c>
      <c r="E12" s="235" t="s">
        <v>263</v>
      </c>
      <c r="F12" s="235" t="s">
        <v>270</v>
      </c>
      <c r="G12" s="235" t="s">
        <v>268</v>
      </c>
      <c r="H12" s="236"/>
      <c r="I12" s="236"/>
      <c r="J12" s="236"/>
      <c r="K12" s="236"/>
      <c r="L12" s="236"/>
      <c r="M12" s="236"/>
      <c r="N12" s="236"/>
      <c r="O12" s="237">
        <v>2418.1999999999998</v>
      </c>
      <c r="P12" s="236">
        <v>3074.7</v>
      </c>
      <c r="Q12" s="236">
        <f t="shared" si="0"/>
        <v>3074.7</v>
      </c>
      <c r="R12" s="236">
        <f t="shared" si="1"/>
        <v>8567.5999999999985</v>
      </c>
      <c r="S12" s="127"/>
    </row>
    <row r="13" spans="1:19" ht="24.95" customHeight="1" x14ac:dyDescent="0.25">
      <c r="A13" s="200"/>
      <c r="B13" s="238"/>
      <c r="C13" s="200"/>
      <c r="D13" s="235" t="s">
        <v>188</v>
      </c>
      <c r="E13" s="235" t="s">
        <v>263</v>
      </c>
      <c r="F13" s="235" t="s">
        <v>271</v>
      </c>
      <c r="G13" s="235" t="s">
        <v>265</v>
      </c>
      <c r="H13" s="236"/>
      <c r="I13" s="236"/>
      <c r="J13" s="236"/>
      <c r="K13" s="236"/>
      <c r="L13" s="236"/>
      <c r="M13" s="236"/>
      <c r="N13" s="236"/>
      <c r="O13" s="236">
        <v>15792.1</v>
      </c>
      <c r="P13" s="236">
        <v>15792.1</v>
      </c>
      <c r="Q13" s="236">
        <f t="shared" si="0"/>
        <v>15792.1</v>
      </c>
      <c r="R13" s="236">
        <f t="shared" si="1"/>
        <v>47376.3</v>
      </c>
      <c r="S13" s="127"/>
    </row>
    <row r="14" spans="1:19" ht="24.95" customHeight="1" x14ac:dyDescent="0.25">
      <c r="A14" s="200"/>
      <c r="B14" s="238"/>
      <c r="C14" s="200"/>
      <c r="D14" s="235" t="s">
        <v>188</v>
      </c>
      <c r="E14" s="235" t="s">
        <v>263</v>
      </c>
      <c r="F14" s="235" t="s">
        <v>271</v>
      </c>
      <c r="G14" s="235" t="s">
        <v>268</v>
      </c>
      <c r="H14" s="236"/>
      <c r="I14" s="236"/>
      <c r="J14" s="236"/>
      <c r="K14" s="236"/>
      <c r="L14" s="236"/>
      <c r="M14" s="236"/>
      <c r="N14" s="236"/>
      <c r="O14" s="236">
        <v>1793.1</v>
      </c>
      <c r="P14" s="236">
        <v>1793.1</v>
      </c>
      <c r="Q14" s="236">
        <f t="shared" si="0"/>
        <v>1793.1</v>
      </c>
      <c r="R14" s="236">
        <f t="shared" si="1"/>
        <v>5379.2999999999993</v>
      </c>
      <c r="S14" s="127"/>
    </row>
    <row r="15" spans="1:19" ht="24.95" customHeight="1" x14ac:dyDescent="0.25">
      <c r="A15" s="200"/>
      <c r="B15" s="238"/>
      <c r="C15" s="200"/>
      <c r="D15" s="235" t="s">
        <v>188</v>
      </c>
      <c r="E15" s="235" t="s">
        <v>263</v>
      </c>
      <c r="F15" s="235" t="s">
        <v>272</v>
      </c>
      <c r="G15" s="235" t="s">
        <v>265</v>
      </c>
      <c r="H15" s="236"/>
      <c r="I15" s="236"/>
      <c r="J15" s="236"/>
      <c r="K15" s="236"/>
      <c r="L15" s="236"/>
      <c r="M15" s="236"/>
      <c r="N15" s="236"/>
      <c r="O15" s="236">
        <v>52766.5</v>
      </c>
      <c r="P15" s="236">
        <v>54173.4</v>
      </c>
      <c r="Q15" s="236">
        <f t="shared" si="0"/>
        <v>54173.4</v>
      </c>
      <c r="R15" s="236">
        <f t="shared" si="1"/>
        <v>161113.29999999999</v>
      </c>
      <c r="S15" s="127"/>
    </row>
    <row r="16" spans="1:19" ht="24.95" customHeight="1" x14ac:dyDescent="0.25">
      <c r="A16" s="200"/>
      <c r="B16" s="238"/>
      <c r="C16" s="200"/>
      <c r="D16" s="235" t="s">
        <v>188</v>
      </c>
      <c r="E16" s="235" t="s">
        <v>263</v>
      </c>
      <c r="F16" s="235" t="s">
        <v>272</v>
      </c>
      <c r="G16" s="235" t="s">
        <v>268</v>
      </c>
      <c r="H16" s="236"/>
      <c r="I16" s="236"/>
      <c r="J16" s="236"/>
      <c r="K16" s="236"/>
      <c r="L16" s="236"/>
      <c r="M16" s="236"/>
      <c r="N16" s="236"/>
      <c r="O16" s="236">
        <v>8479.2999999999993</v>
      </c>
      <c r="P16" s="236">
        <v>8065.3</v>
      </c>
      <c r="Q16" s="236">
        <f t="shared" si="0"/>
        <v>8065.3</v>
      </c>
      <c r="R16" s="236">
        <f t="shared" si="1"/>
        <v>24609.899999999998</v>
      </c>
      <c r="S16" s="127"/>
    </row>
    <row r="17" spans="1:19" ht="24.95" customHeight="1" x14ac:dyDescent="0.25">
      <c r="A17" s="200"/>
      <c r="B17" s="238"/>
      <c r="C17" s="200"/>
      <c r="D17" s="235" t="s">
        <v>188</v>
      </c>
      <c r="E17" s="235" t="s">
        <v>263</v>
      </c>
      <c r="F17" s="235" t="s">
        <v>272</v>
      </c>
      <c r="G17" s="235" t="s">
        <v>273</v>
      </c>
      <c r="H17" s="236"/>
      <c r="I17" s="236"/>
      <c r="J17" s="236"/>
      <c r="K17" s="236"/>
      <c r="L17" s="236"/>
      <c r="M17" s="236"/>
      <c r="N17" s="236"/>
      <c r="O17" s="236">
        <v>4123</v>
      </c>
      <c r="P17" s="236"/>
      <c r="Q17" s="236"/>
      <c r="R17" s="236"/>
      <c r="S17" s="127"/>
    </row>
    <row r="18" spans="1:19" ht="24.95" customHeight="1" x14ac:dyDescent="0.25">
      <c r="A18" s="200"/>
      <c r="B18" s="238"/>
      <c r="C18" s="200"/>
      <c r="D18" s="235" t="s">
        <v>188</v>
      </c>
      <c r="E18" s="235" t="s">
        <v>263</v>
      </c>
      <c r="F18" s="235" t="s">
        <v>274</v>
      </c>
      <c r="G18" s="235" t="s">
        <v>265</v>
      </c>
      <c r="H18" s="236">
        <v>5961.4</v>
      </c>
      <c r="I18" s="236">
        <v>10099.9</v>
      </c>
      <c r="J18" s="236">
        <v>13561.6</v>
      </c>
      <c r="K18" s="236">
        <v>14858.8</v>
      </c>
      <c r="L18" s="236">
        <v>19814.900000000001</v>
      </c>
      <c r="M18" s="236">
        <v>33192.5</v>
      </c>
      <c r="N18" s="236">
        <f>30336.6-328.4</f>
        <v>30008.199999999997</v>
      </c>
      <c r="O18" s="236">
        <v>0</v>
      </c>
      <c r="P18" s="236"/>
      <c r="Q18" s="236"/>
      <c r="R18" s="236">
        <f t="shared" si="1"/>
        <v>127497.3</v>
      </c>
      <c r="S18" s="127"/>
    </row>
    <row r="19" spans="1:19" ht="24.95" customHeight="1" x14ac:dyDescent="0.25">
      <c r="A19" s="200"/>
      <c r="B19" s="238"/>
      <c r="C19" s="200"/>
      <c r="D19" s="235" t="s">
        <v>188</v>
      </c>
      <c r="E19" s="235" t="s">
        <v>263</v>
      </c>
      <c r="F19" s="235" t="s">
        <v>274</v>
      </c>
      <c r="G19" s="235" t="s">
        <v>268</v>
      </c>
      <c r="H19" s="236">
        <v>1142</v>
      </c>
      <c r="I19" s="236">
        <v>1752.1</v>
      </c>
      <c r="J19" s="236">
        <v>2506</v>
      </c>
      <c r="K19" s="236">
        <v>2673.8</v>
      </c>
      <c r="L19" s="236">
        <v>3359.1</v>
      </c>
      <c r="M19" s="236">
        <v>5005.5</v>
      </c>
      <c r="N19" s="236">
        <v>4731.2</v>
      </c>
      <c r="O19" s="236">
        <v>0</v>
      </c>
      <c r="P19" s="236"/>
      <c r="Q19" s="236"/>
      <c r="R19" s="236">
        <f t="shared" si="1"/>
        <v>21169.7</v>
      </c>
      <c r="S19" s="127"/>
    </row>
    <row r="20" spans="1:19" ht="24.95" customHeight="1" x14ac:dyDescent="0.25">
      <c r="A20" s="200"/>
      <c r="B20" s="238"/>
      <c r="C20" s="200"/>
      <c r="D20" s="235" t="s">
        <v>188</v>
      </c>
      <c r="E20" s="235" t="s">
        <v>263</v>
      </c>
      <c r="F20" s="235" t="s">
        <v>275</v>
      </c>
      <c r="G20" s="235" t="s">
        <v>267</v>
      </c>
      <c r="H20" s="236"/>
      <c r="I20" s="236"/>
      <c r="J20" s="236"/>
      <c r="K20" s="236"/>
      <c r="L20" s="236">
        <v>0</v>
      </c>
      <c r="M20" s="236">
        <v>50</v>
      </c>
      <c r="N20" s="236">
        <v>0</v>
      </c>
      <c r="O20" s="236">
        <v>0</v>
      </c>
      <c r="P20" s="236">
        <v>0</v>
      </c>
      <c r="Q20" s="236">
        <f t="shared" si="0"/>
        <v>0</v>
      </c>
      <c r="R20" s="236">
        <f t="shared" si="1"/>
        <v>50</v>
      </c>
      <c r="S20" s="127"/>
    </row>
    <row r="21" spans="1:19" ht="24.95" customHeight="1" x14ac:dyDescent="0.25">
      <c r="A21" s="200"/>
      <c r="B21" s="238"/>
      <c r="C21" s="200"/>
      <c r="D21" s="235" t="s">
        <v>188</v>
      </c>
      <c r="E21" s="235" t="s">
        <v>263</v>
      </c>
      <c r="F21" s="235" t="s">
        <v>275</v>
      </c>
      <c r="G21" s="235" t="s">
        <v>267</v>
      </c>
      <c r="H21" s="236">
        <v>0</v>
      </c>
      <c r="I21" s="236">
        <v>0</v>
      </c>
      <c r="J21" s="236">
        <v>2</v>
      </c>
      <c r="K21" s="236">
        <v>0</v>
      </c>
      <c r="L21" s="236">
        <v>0</v>
      </c>
      <c r="M21" s="236">
        <v>1000</v>
      </c>
      <c r="N21" s="236">
        <v>0</v>
      </c>
      <c r="O21" s="236">
        <v>0</v>
      </c>
      <c r="P21" s="236">
        <f>O21</f>
        <v>0</v>
      </c>
      <c r="Q21" s="236">
        <f t="shared" si="0"/>
        <v>0</v>
      </c>
      <c r="R21" s="236">
        <f t="shared" si="1"/>
        <v>1002</v>
      </c>
      <c r="S21" s="127"/>
    </row>
    <row r="22" spans="1:19" ht="24.95" customHeight="1" x14ac:dyDescent="0.25">
      <c r="A22" s="200"/>
      <c r="B22" s="239"/>
      <c r="C22" s="203"/>
      <c r="D22" s="235" t="s">
        <v>188</v>
      </c>
      <c r="E22" s="235" t="s">
        <v>263</v>
      </c>
      <c r="F22" s="235" t="s">
        <v>276</v>
      </c>
      <c r="G22" s="235" t="s">
        <v>269</v>
      </c>
      <c r="H22" s="236">
        <v>0</v>
      </c>
      <c r="I22" s="236">
        <v>0</v>
      </c>
      <c r="J22" s="236">
        <v>0</v>
      </c>
      <c r="K22" s="236">
        <v>1</v>
      </c>
      <c r="L22" s="236">
        <v>0</v>
      </c>
      <c r="M22" s="236">
        <v>0</v>
      </c>
      <c r="N22" s="236">
        <v>0</v>
      </c>
      <c r="O22" s="236">
        <v>0</v>
      </c>
      <c r="P22" s="236">
        <f>O22</f>
        <v>0</v>
      </c>
      <c r="Q22" s="236">
        <f t="shared" si="0"/>
        <v>0</v>
      </c>
      <c r="R22" s="236">
        <f t="shared" si="1"/>
        <v>1</v>
      </c>
      <c r="S22" s="127"/>
    </row>
    <row r="23" spans="1:19" ht="24.95" customHeight="1" x14ac:dyDescent="0.25">
      <c r="A23" s="200"/>
      <c r="B23" s="240" t="s">
        <v>277</v>
      </c>
      <c r="C23" s="143" t="s">
        <v>262</v>
      </c>
      <c r="D23" s="235" t="s">
        <v>278</v>
      </c>
      <c r="E23" s="235" t="s">
        <v>263</v>
      </c>
      <c r="F23" s="235" t="s">
        <v>279</v>
      </c>
      <c r="G23" s="235" t="s">
        <v>267</v>
      </c>
      <c r="H23" s="236">
        <v>0</v>
      </c>
      <c r="I23" s="236">
        <v>0</v>
      </c>
      <c r="J23" s="236">
        <v>141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f>O23</f>
        <v>0</v>
      </c>
      <c r="Q23" s="236">
        <f t="shared" si="0"/>
        <v>0</v>
      </c>
      <c r="R23" s="236">
        <f t="shared" si="1"/>
        <v>141</v>
      </c>
      <c r="S23" s="127"/>
    </row>
    <row r="24" spans="1:19" ht="24.95" customHeight="1" x14ac:dyDescent="0.25">
      <c r="A24" s="200"/>
      <c r="B24" s="241"/>
      <c r="C24" s="202"/>
      <c r="D24" s="235" t="s">
        <v>278</v>
      </c>
      <c r="E24" s="235" t="s">
        <v>263</v>
      </c>
      <c r="F24" s="235" t="s">
        <v>279</v>
      </c>
      <c r="G24" s="235" t="s">
        <v>269</v>
      </c>
      <c r="H24" s="236">
        <v>0</v>
      </c>
      <c r="I24" s="236">
        <v>0</v>
      </c>
      <c r="J24" s="236">
        <v>0</v>
      </c>
      <c r="K24" s="236">
        <v>70.5</v>
      </c>
      <c r="L24" s="236">
        <v>0</v>
      </c>
      <c r="M24" s="236">
        <v>0</v>
      </c>
      <c r="N24" s="236">
        <v>0</v>
      </c>
      <c r="O24" s="236">
        <v>0</v>
      </c>
      <c r="P24" s="236">
        <f>O24</f>
        <v>0</v>
      </c>
      <c r="Q24" s="236">
        <f t="shared" si="0"/>
        <v>0</v>
      </c>
      <c r="R24" s="236">
        <f t="shared" si="1"/>
        <v>70.5</v>
      </c>
      <c r="S24" s="127"/>
    </row>
    <row r="25" spans="1:19" ht="24.95" customHeight="1" x14ac:dyDescent="0.25">
      <c r="A25" s="200"/>
      <c r="B25" s="241"/>
      <c r="C25" s="202"/>
      <c r="D25" s="235" t="s">
        <v>188</v>
      </c>
      <c r="E25" s="235" t="s">
        <v>263</v>
      </c>
      <c r="F25" s="235" t="s">
        <v>280</v>
      </c>
      <c r="G25" s="235" t="s">
        <v>265</v>
      </c>
      <c r="H25" s="242">
        <v>55471</v>
      </c>
      <c r="I25" s="242">
        <v>64558.6</v>
      </c>
      <c r="J25" s="242">
        <v>62740.3</v>
      </c>
      <c r="K25" s="242">
        <v>67910</v>
      </c>
      <c r="L25" s="242">
        <v>69926.5</v>
      </c>
      <c r="M25" s="242">
        <v>80492.399999999994</v>
      </c>
      <c r="N25" s="242">
        <v>91762.1</v>
      </c>
      <c r="O25" s="243">
        <v>99443.6</v>
      </c>
      <c r="P25" s="242">
        <v>92886.5</v>
      </c>
      <c r="Q25" s="236">
        <f t="shared" si="0"/>
        <v>92886.5</v>
      </c>
      <c r="R25" s="236">
        <f t="shared" si="1"/>
        <v>778077.5</v>
      </c>
      <c r="S25" s="127"/>
    </row>
    <row r="26" spans="1:19" ht="24.95" customHeight="1" x14ac:dyDescent="0.25">
      <c r="A26" s="200"/>
      <c r="B26" s="241"/>
      <c r="C26" s="202"/>
      <c r="D26" s="235" t="s">
        <v>188</v>
      </c>
      <c r="E26" s="235" t="s">
        <v>263</v>
      </c>
      <c r="F26" s="235" t="s">
        <v>280</v>
      </c>
      <c r="G26" s="235" t="s">
        <v>267</v>
      </c>
      <c r="H26" s="242">
        <v>216.4</v>
      </c>
      <c r="I26" s="242">
        <v>268.39999999999998</v>
      </c>
      <c r="J26" s="242">
        <v>343.4</v>
      </c>
      <c r="K26" s="242">
        <v>380.2</v>
      </c>
      <c r="L26" s="242">
        <v>337</v>
      </c>
      <c r="M26" s="242">
        <v>341</v>
      </c>
      <c r="N26" s="242">
        <v>0</v>
      </c>
      <c r="O26" s="242">
        <v>0</v>
      </c>
      <c r="P26" s="236">
        <v>0</v>
      </c>
      <c r="Q26" s="236">
        <f t="shared" si="0"/>
        <v>0</v>
      </c>
      <c r="R26" s="236">
        <f t="shared" si="1"/>
        <v>1886.3999999999999</v>
      </c>
      <c r="S26" s="127"/>
    </row>
    <row r="27" spans="1:19" ht="24.95" customHeight="1" x14ac:dyDescent="0.25">
      <c r="A27" s="200"/>
      <c r="B27" s="241"/>
      <c r="C27" s="202"/>
      <c r="D27" s="235" t="s">
        <v>188</v>
      </c>
      <c r="E27" s="235" t="s">
        <v>263</v>
      </c>
      <c r="F27" s="235" t="s">
        <v>280</v>
      </c>
      <c r="G27" s="235" t="s">
        <v>268</v>
      </c>
      <c r="H27" s="242">
        <v>8073.9</v>
      </c>
      <c r="I27" s="242">
        <v>9286.4</v>
      </c>
      <c r="J27" s="242">
        <v>9020.2999999999993</v>
      </c>
      <c r="K27" s="242">
        <v>9425.2000000000007</v>
      </c>
      <c r="L27" s="242">
        <v>10547.1</v>
      </c>
      <c r="M27" s="242">
        <v>12198.3</v>
      </c>
      <c r="N27" s="242">
        <v>15809.8</v>
      </c>
      <c r="O27" s="243">
        <v>15608.1</v>
      </c>
      <c r="P27" s="242">
        <v>15137.1</v>
      </c>
      <c r="Q27" s="236">
        <f t="shared" si="0"/>
        <v>15137.1</v>
      </c>
      <c r="R27" s="236">
        <f t="shared" si="1"/>
        <v>120243.30000000002</v>
      </c>
      <c r="S27" s="127"/>
    </row>
    <row r="28" spans="1:19" ht="24.95" customHeight="1" x14ac:dyDescent="0.25">
      <c r="A28" s="200"/>
      <c r="B28" s="241"/>
      <c r="C28" s="202"/>
      <c r="D28" s="235" t="s">
        <v>188</v>
      </c>
      <c r="E28" s="235" t="s">
        <v>263</v>
      </c>
      <c r="F28" s="235" t="s">
        <v>280</v>
      </c>
      <c r="G28" s="235" t="s">
        <v>273</v>
      </c>
      <c r="H28" s="242"/>
      <c r="I28" s="242"/>
      <c r="J28" s="242"/>
      <c r="K28" s="242">
        <v>0</v>
      </c>
      <c r="L28" s="242"/>
      <c r="M28" s="242"/>
      <c r="N28" s="242">
        <v>32.9</v>
      </c>
      <c r="O28" s="242"/>
      <c r="P28" s="236">
        <v>1259.4000000000001</v>
      </c>
      <c r="Q28" s="236">
        <f t="shared" si="0"/>
        <v>1259.4000000000001</v>
      </c>
      <c r="R28" s="236">
        <f t="shared" si="1"/>
        <v>2551.7000000000003</v>
      </c>
      <c r="S28" s="127"/>
    </row>
    <row r="29" spans="1:19" ht="24.95" customHeight="1" x14ac:dyDescent="0.25">
      <c r="A29" s="200"/>
      <c r="B29" s="241"/>
      <c r="C29" s="202"/>
      <c r="D29" s="235" t="s">
        <v>188</v>
      </c>
      <c r="E29" s="235" t="s">
        <v>263</v>
      </c>
      <c r="F29" s="235" t="s">
        <v>280</v>
      </c>
      <c r="G29" s="235" t="s">
        <v>267</v>
      </c>
      <c r="H29" s="242">
        <v>3478.6</v>
      </c>
      <c r="I29" s="242">
        <v>3595.8</v>
      </c>
      <c r="J29" s="242"/>
      <c r="K29" s="242">
        <v>0</v>
      </c>
      <c r="L29" s="242"/>
      <c r="M29" s="242"/>
      <c r="N29" s="242"/>
      <c r="O29" s="242"/>
      <c r="P29" s="236">
        <f>O29</f>
        <v>0</v>
      </c>
      <c r="Q29" s="236">
        <f t="shared" si="0"/>
        <v>0</v>
      </c>
      <c r="R29" s="236">
        <f t="shared" si="1"/>
        <v>7074.4</v>
      </c>
      <c r="S29" s="127"/>
    </row>
    <row r="30" spans="1:19" ht="24.95" customHeight="1" x14ac:dyDescent="0.25">
      <c r="A30" s="200"/>
      <c r="B30" s="241"/>
      <c r="C30" s="202"/>
      <c r="D30" s="235" t="s">
        <v>188</v>
      </c>
      <c r="E30" s="235" t="s">
        <v>263</v>
      </c>
      <c r="F30" s="235" t="s">
        <v>280</v>
      </c>
      <c r="G30" s="235" t="s">
        <v>269</v>
      </c>
      <c r="H30" s="242">
        <v>486.3</v>
      </c>
      <c r="I30" s="242">
        <v>496.9</v>
      </c>
      <c r="J30" s="242"/>
      <c r="K30" s="242">
        <v>0</v>
      </c>
      <c r="L30" s="242"/>
      <c r="M30" s="242">
        <v>0</v>
      </c>
      <c r="N30" s="242">
        <v>0</v>
      </c>
      <c r="O30" s="242">
        <v>0</v>
      </c>
      <c r="P30" s="236">
        <v>0</v>
      </c>
      <c r="Q30" s="236">
        <f t="shared" si="0"/>
        <v>0</v>
      </c>
      <c r="R30" s="236">
        <f t="shared" si="1"/>
        <v>983.2</v>
      </c>
      <c r="S30" s="127"/>
    </row>
    <row r="31" spans="1:19" ht="24.95" customHeight="1" x14ac:dyDescent="0.25">
      <c r="A31" s="200"/>
      <c r="B31" s="241"/>
      <c r="C31" s="202"/>
      <c r="D31" s="235" t="s">
        <v>188</v>
      </c>
      <c r="E31" s="235" t="s">
        <v>263</v>
      </c>
      <c r="F31" s="235" t="s">
        <v>281</v>
      </c>
      <c r="G31" s="235" t="s">
        <v>265</v>
      </c>
      <c r="H31" s="242"/>
      <c r="I31" s="242"/>
      <c r="J31" s="242">
        <v>32757.9</v>
      </c>
      <c r="K31" s="242">
        <v>35111</v>
      </c>
      <c r="L31" s="242">
        <v>38950.400000000001</v>
      </c>
      <c r="M31" s="242">
        <v>42346.400000000001</v>
      </c>
      <c r="N31" s="242">
        <v>44829</v>
      </c>
      <c r="O31" s="243">
        <v>47071.4</v>
      </c>
      <c r="P31" s="242">
        <v>46499.3</v>
      </c>
      <c r="Q31" s="236">
        <f t="shared" si="0"/>
        <v>46499.3</v>
      </c>
      <c r="R31" s="236">
        <f t="shared" si="1"/>
        <v>334064.69999999995</v>
      </c>
      <c r="S31" s="127"/>
    </row>
    <row r="32" spans="1:19" ht="24.95" customHeight="1" x14ac:dyDescent="0.25">
      <c r="A32" s="200"/>
      <c r="B32" s="241"/>
      <c r="C32" s="202"/>
      <c r="D32" s="235" t="s">
        <v>188</v>
      </c>
      <c r="E32" s="235" t="s">
        <v>263</v>
      </c>
      <c r="F32" s="235" t="s">
        <v>281</v>
      </c>
      <c r="G32" s="235" t="s">
        <v>267</v>
      </c>
      <c r="H32" s="242"/>
      <c r="I32" s="242"/>
      <c r="J32" s="242">
        <v>762.6</v>
      </c>
      <c r="K32" s="242">
        <v>412</v>
      </c>
      <c r="L32" s="242">
        <v>357</v>
      </c>
      <c r="M32" s="242">
        <v>290</v>
      </c>
      <c r="N32" s="242">
        <v>0</v>
      </c>
      <c r="O32" s="242">
        <v>0</v>
      </c>
      <c r="P32" s="236">
        <v>0</v>
      </c>
      <c r="Q32" s="236">
        <f t="shared" si="0"/>
        <v>0</v>
      </c>
      <c r="R32" s="236">
        <f t="shared" si="1"/>
        <v>1821.6</v>
      </c>
      <c r="S32" s="127"/>
    </row>
    <row r="33" spans="1:19" ht="24.95" customHeight="1" x14ac:dyDescent="0.25">
      <c r="A33" s="200"/>
      <c r="B33" s="241"/>
      <c r="C33" s="202"/>
      <c r="D33" s="235" t="s">
        <v>188</v>
      </c>
      <c r="E33" s="235" t="s">
        <v>263</v>
      </c>
      <c r="F33" s="235" t="s">
        <v>281</v>
      </c>
      <c r="G33" s="235" t="s">
        <v>268</v>
      </c>
      <c r="H33" s="242"/>
      <c r="I33" s="242"/>
      <c r="J33" s="242">
        <v>4635</v>
      </c>
      <c r="K33" s="242">
        <v>4958.6000000000004</v>
      </c>
      <c r="L33" s="242">
        <v>5314.3</v>
      </c>
      <c r="M33" s="242">
        <v>6772.5</v>
      </c>
      <c r="N33" s="242">
        <v>6990.4</v>
      </c>
      <c r="O33" s="243">
        <v>7444.6</v>
      </c>
      <c r="P33" s="242">
        <v>7328.1</v>
      </c>
      <c r="Q33" s="236">
        <f t="shared" si="0"/>
        <v>7328.1</v>
      </c>
      <c r="R33" s="236">
        <f t="shared" si="1"/>
        <v>50771.6</v>
      </c>
      <c r="S33" s="127"/>
    </row>
    <row r="34" spans="1:19" ht="24.95" customHeight="1" x14ac:dyDescent="0.25">
      <c r="A34" s="200"/>
      <c r="B34" s="241"/>
      <c r="C34" s="202"/>
      <c r="D34" s="235" t="s">
        <v>188</v>
      </c>
      <c r="E34" s="235" t="s">
        <v>263</v>
      </c>
      <c r="F34" s="235" t="s">
        <v>281</v>
      </c>
      <c r="G34" s="235" t="s">
        <v>269</v>
      </c>
      <c r="H34" s="242"/>
      <c r="I34" s="242"/>
      <c r="J34" s="242">
        <v>89.5</v>
      </c>
      <c r="K34" s="242">
        <v>0</v>
      </c>
      <c r="L34" s="242"/>
      <c r="M34" s="242"/>
      <c r="N34" s="242"/>
      <c r="O34" s="242"/>
      <c r="P34" s="236">
        <f>O34</f>
        <v>0</v>
      </c>
      <c r="Q34" s="236">
        <f t="shared" si="0"/>
        <v>0</v>
      </c>
      <c r="R34" s="236">
        <f t="shared" si="1"/>
        <v>89.5</v>
      </c>
      <c r="S34" s="127"/>
    </row>
    <row r="35" spans="1:19" ht="51" customHeight="1" x14ac:dyDescent="0.25">
      <c r="A35" s="200"/>
      <c r="B35" s="241"/>
      <c r="C35" s="202"/>
      <c r="D35" s="235" t="s">
        <v>188</v>
      </c>
      <c r="E35" s="235" t="s">
        <v>263</v>
      </c>
      <c r="F35" s="235" t="s">
        <v>282</v>
      </c>
      <c r="G35" s="235" t="s">
        <v>268</v>
      </c>
      <c r="H35" s="242"/>
      <c r="I35" s="242"/>
      <c r="J35" s="242"/>
      <c r="K35" s="242"/>
      <c r="L35" s="242">
        <v>102.6</v>
      </c>
      <c r="M35" s="242">
        <v>46.4</v>
      </c>
      <c r="N35" s="242">
        <v>436.4</v>
      </c>
      <c r="O35" s="242">
        <v>0</v>
      </c>
      <c r="P35" s="236">
        <f>O35</f>
        <v>0</v>
      </c>
      <c r="Q35" s="236">
        <f t="shared" si="0"/>
        <v>0</v>
      </c>
      <c r="R35" s="236">
        <f t="shared" si="1"/>
        <v>585.4</v>
      </c>
      <c r="S35" s="127"/>
    </row>
    <row r="36" spans="1:19" ht="60" customHeight="1" x14ac:dyDescent="0.25">
      <c r="A36" s="200"/>
      <c r="B36" s="241"/>
      <c r="C36" s="202"/>
      <c r="D36" s="235" t="s">
        <v>188</v>
      </c>
      <c r="E36" s="235" t="s">
        <v>263</v>
      </c>
      <c r="F36" s="235" t="s">
        <v>283</v>
      </c>
      <c r="G36" s="235" t="s">
        <v>265</v>
      </c>
      <c r="H36" s="242"/>
      <c r="I36" s="242"/>
      <c r="J36" s="242"/>
      <c r="K36" s="242"/>
      <c r="L36" s="242">
        <v>613.20000000000005</v>
      </c>
      <c r="M36" s="242">
        <v>283</v>
      </c>
      <c r="N36" s="242">
        <f>2616.6+1168.6</f>
        <v>3785.2</v>
      </c>
      <c r="O36" s="242">
        <v>0</v>
      </c>
      <c r="P36" s="236">
        <f>O36</f>
        <v>0</v>
      </c>
      <c r="Q36" s="236">
        <f t="shared" si="0"/>
        <v>0</v>
      </c>
      <c r="R36" s="236">
        <f t="shared" si="1"/>
        <v>4681.3999999999996</v>
      </c>
      <c r="S36" s="127"/>
    </row>
    <row r="37" spans="1:19" ht="60" customHeight="1" x14ac:dyDescent="0.25">
      <c r="A37" s="200"/>
      <c r="B37" s="241"/>
      <c r="C37" s="202"/>
      <c r="D37" s="235" t="s">
        <v>188</v>
      </c>
      <c r="E37" s="235" t="s">
        <v>263</v>
      </c>
      <c r="F37" s="235" t="s">
        <v>284</v>
      </c>
      <c r="G37" s="235" t="s">
        <v>265</v>
      </c>
      <c r="H37" s="242"/>
      <c r="I37" s="242"/>
      <c r="J37" s="242"/>
      <c r="K37" s="242"/>
      <c r="L37" s="242"/>
      <c r="M37" s="242"/>
      <c r="N37" s="242">
        <v>145.4</v>
      </c>
      <c r="O37" s="242"/>
      <c r="P37" s="236"/>
      <c r="Q37" s="236"/>
      <c r="R37" s="236"/>
      <c r="S37" s="127"/>
    </row>
    <row r="38" spans="1:19" ht="60" customHeight="1" x14ac:dyDescent="0.25">
      <c r="A38" s="200"/>
      <c r="B38" s="241"/>
      <c r="C38" s="202"/>
      <c r="D38" s="235" t="s">
        <v>188</v>
      </c>
      <c r="E38" s="235" t="s">
        <v>263</v>
      </c>
      <c r="F38" s="235" t="s">
        <v>284</v>
      </c>
      <c r="G38" s="235" t="s">
        <v>268</v>
      </c>
      <c r="H38" s="242"/>
      <c r="I38" s="242"/>
      <c r="J38" s="242"/>
      <c r="K38" s="242"/>
      <c r="L38" s="242"/>
      <c r="M38" s="242"/>
      <c r="N38" s="242">
        <v>22.2</v>
      </c>
      <c r="O38" s="242"/>
      <c r="P38" s="236"/>
      <c r="Q38" s="236"/>
      <c r="R38" s="236"/>
      <c r="S38" s="127"/>
    </row>
    <row r="39" spans="1:19" ht="24.95" customHeight="1" x14ac:dyDescent="0.25">
      <c r="A39" s="200"/>
      <c r="B39" s="241"/>
      <c r="C39" s="202"/>
      <c r="D39" s="235" t="s">
        <v>188</v>
      </c>
      <c r="E39" s="235" t="s">
        <v>263</v>
      </c>
      <c r="F39" s="235" t="s">
        <v>285</v>
      </c>
      <c r="G39" s="235" t="s">
        <v>267</v>
      </c>
      <c r="H39" s="242"/>
      <c r="I39" s="242"/>
      <c r="J39" s="242"/>
      <c r="K39" s="242">
        <v>99</v>
      </c>
      <c r="L39" s="242"/>
      <c r="M39" s="242"/>
      <c r="N39" s="242"/>
      <c r="O39" s="242">
        <v>1271.2</v>
      </c>
      <c r="P39" s="236">
        <v>0</v>
      </c>
      <c r="Q39" s="236">
        <v>0</v>
      </c>
      <c r="R39" s="236">
        <f t="shared" si="1"/>
        <v>1370.2</v>
      </c>
      <c r="S39" s="127"/>
    </row>
    <row r="40" spans="1:19" ht="24.95" customHeight="1" x14ac:dyDescent="0.25">
      <c r="A40" s="200"/>
      <c r="B40" s="241"/>
      <c r="C40" s="202"/>
      <c r="D40" s="235" t="s">
        <v>188</v>
      </c>
      <c r="E40" s="235" t="s">
        <v>263</v>
      </c>
      <c r="F40" s="235" t="s">
        <v>286</v>
      </c>
      <c r="G40" s="235" t="s">
        <v>265</v>
      </c>
      <c r="H40" s="242">
        <v>181.4</v>
      </c>
      <c r="I40" s="242"/>
      <c r="J40" s="242"/>
      <c r="K40" s="242"/>
      <c r="L40" s="242"/>
      <c r="M40" s="242"/>
      <c r="N40" s="242"/>
      <c r="O40" s="242"/>
      <c r="P40" s="236">
        <f>O40</f>
        <v>0</v>
      </c>
      <c r="Q40" s="236">
        <f t="shared" si="0"/>
        <v>0</v>
      </c>
      <c r="R40" s="236">
        <f t="shared" si="1"/>
        <v>181.4</v>
      </c>
      <c r="S40" s="127"/>
    </row>
    <row r="41" spans="1:19" ht="24.95" customHeight="1" x14ac:dyDescent="0.25">
      <c r="A41" s="200"/>
      <c r="B41" s="244"/>
      <c r="C41" s="205"/>
      <c r="D41" s="235" t="s">
        <v>188</v>
      </c>
      <c r="E41" s="235" t="s">
        <v>263</v>
      </c>
      <c r="F41" s="235" t="s">
        <v>286</v>
      </c>
      <c r="G41" s="235" t="s">
        <v>268</v>
      </c>
      <c r="H41" s="242">
        <v>35.299999999999997</v>
      </c>
      <c r="I41" s="242"/>
      <c r="J41" s="242"/>
      <c r="K41" s="242"/>
      <c r="L41" s="242"/>
      <c r="M41" s="242"/>
      <c r="N41" s="242"/>
      <c r="O41" s="242"/>
      <c r="P41" s="236">
        <f>O41</f>
        <v>0</v>
      </c>
      <c r="Q41" s="236">
        <f t="shared" si="0"/>
        <v>0</v>
      </c>
      <c r="R41" s="236">
        <f t="shared" si="1"/>
        <v>35.299999999999997</v>
      </c>
      <c r="S41" s="127"/>
    </row>
    <row r="42" spans="1:19" ht="54.75" customHeight="1" x14ac:dyDescent="0.25">
      <c r="A42" s="203"/>
      <c r="B42" s="245" t="s">
        <v>287</v>
      </c>
      <c r="C42" s="21" t="s">
        <v>262</v>
      </c>
      <c r="D42" s="235" t="s">
        <v>188</v>
      </c>
      <c r="E42" s="235" t="s">
        <v>263</v>
      </c>
      <c r="F42" s="235" t="s">
        <v>185</v>
      </c>
      <c r="G42" s="235" t="s">
        <v>185</v>
      </c>
      <c r="H42" s="242">
        <v>13162.3</v>
      </c>
      <c r="I42" s="242">
        <v>12443.8</v>
      </c>
      <c r="J42" s="242">
        <v>16587.599999999999</v>
      </c>
      <c r="K42" s="242">
        <v>19415.5</v>
      </c>
      <c r="L42" s="242">
        <v>21251.4</v>
      </c>
      <c r="M42" s="242">
        <v>20373.5</v>
      </c>
      <c r="N42" s="242">
        <v>15029.6</v>
      </c>
      <c r="O42" s="242">
        <v>19957.7</v>
      </c>
      <c r="P42" s="242">
        <v>21081.599999999999</v>
      </c>
      <c r="Q42" s="236">
        <f t="shared" si="0"/>
        <v>21081.599999999999</v>
      </c>
      <c r="R42" s="236">
        <f t="shared" si="1"/>
        <v>180384.60000000003</v>
      </c>
      <c r="S42" s="79"/>
    </row>
    <row r="43" spans="1:19" ht="32.25" customHeight="1" x14ac:dyDescent="0.25">
      <c r="A43" s="246" t="s">
        <v>36</v>
      </c>
      <c r="B43" s="240" t="s">
        <v>288</v>
      </c>
      <c r="C43" s="143" t="s">
        <v>262</v>
      </c>
      <c r="D43" s="235" t="s">
        <v>188</v>
      </c>
      <c r="E43" s="235" t="s">
        <v>263</v>
      </c>
      <c r="F43" s="235" t="s">
        <v>289</v>
      </c>
      <c r="G43" s="235" t="s">
        <v>267</v>
      </c>
      <c r="H43" s="242">
        <v>2036.1</v>
      </c>
      <c r="I43" s="242"/>
      <c r="J43" s="242"/>
      <c r="K43" s="242"/>
      <c r="L43" s="242"/>
      <c r="M43" s="242"/>
      <c r="N43" s="242"/>
      <c r="O43" s="242"/>
      <c r="P43" s="236">
        <f>O43</f>
        <v>0</v>
      </c>
      <c r="Q43" s="236">
        <f t="shared" si="0"/>
        <v>0</v>
      </c>
      <c r="R43" s="236">
        <f t="shared" si="1"/>
        <v>2036.1</v>
      </c>
      <c r="S43" s="247" t="s">
        <v>290</v>
      </c>
    </row>
    <row r="44" spans="1:19" ht="39" customHeight="1" x14ac:dyDescent="0.25">
      <c r="A44" s="248"/>
      <c r="B44" s="244"/>
      <c r="C44" s="206"/>
      <c r="D44" s="235" t="s">
        <v>188</v>
      </c>
      <c r="E44" s="235" t="s">
        <v>263</v>
      </c>
      <c r="F44" s="235" t="s">
        <v>291</v>
      </c>
      <c r="G44" s="235" t="s">
        <v>267</v>
      </c>
      <c r="H44" s="242">
        <v>511.1</v>
      </c>
      <c r="I44" s="242"/>
      <c r="J44" s="242"/>
      <c r="K44" s="242"/>
      <c r="L44" s="242"/>
      <c r="M44" s="242"/>
      <c r="N44" s="242"/>
      <c r="O44" s="242"/>
      <c r="P44" s="236">
        <f>O44</f>
        <v>0</v>
      </c>
      <c r="Q44" s="236">
        <f t="shared" si="0"/>
        <v>0</v>
      </c>
      <c r="R44" s="236">
        <f t="shared" si="1"/>
        <v>511.1</v>
      </c>
      <c r="S44" s="249"/>
    </row>
    <row r="45" spans="1:19" ht="39" customHeight="1" x14ac:dyDescent="0.25">
      <c r="A45" s="248"/>
      <c r="B45" s="250"/>
      <c r="C45" s="146"/>
      <c r="D45" s="235"/>
      <c r="E45" s="235" t="s">
        <v>263</v>
      </c>
      <c r="F45" s="235" t="s">
        <v>292</v>
      </c>
      <c r="G45" s="235" t="s">
        <v>265</v>
      </c>
      <c r="H45" s="242"/>
      <c r="I45" s="242"/>
      <c r="J45" s="242"/>
      <c r="K45" s="242"/>
      <c r="L45" s="242"/>
      <c r="M45" s="242"/>
      <c r="N45" s="242">
        <v>257.3</v>
      </c>
      <c r="O45" s="242"/>
      <c r="P45" s="236"/>
      <c r="Q45" s="236"/>
      <c r="R45" s="236"/>
      <c r="S45" s="249"/>
    </row>
    <row r="46" spans="1:19" ht="39" customHeight="1" x14ac:dyDescent="0.25">
      <c r="A46" s="248"/>
      <c r="B46" s="250"/>
      <c r="C46" s="143" t="s">
        <v>262</v>
      </c>
      <c r="D46" s="235"/>
      <c r="E46" s="235" t="s">
        <v>263</v>
      </c>
      <c r="F46" s="235" t="s">
        <v>292</v>
      </c>
      <c r="G46" s="235" t="s">
        <v>267</v>
      </c>
      <c r="H46" s="242"/>
      <c r="I46" s="242"/>
      <c r="J46" s="242"/>
      <c r="K46" s="242"/>
      <c r="L46" s="242"/>
      <c r="M46" s="242"/>
      <c r="N46" s="242">
        <v>2133.4</v>
      </c>
      <c r="O46" s="242"/>
      <c r="P46" s="236"/>
      <c r="Q46" s="236">
        <f t="shared" si="0"/>
        <v>0</v>
      </c>
      <c r="R46" s="236">
        <f t="shared" si="1"/>
        <v>2133.4</v>
      </c>
      <c r="S46" s="249"/>
    </row>
    <row r="47" spans="1:19" ht="69" customHeight="1" x14ac:dyDescent="0.25">
      <c r="A47" s="251"/>
      <c r="B47" s="252" t="s">
        <v>293</v>
      </c>
      <c r="C47" s="206"/>
      <c r="D47" s="235" t="s">
        <v>188</v>
      </c>
      <c r="E47" s="235" t="s">
        <v>263</v>
      </c>
      <c r="F47" s="235" t="s">
        <v>294</v>
      </c>
      <c r="G47" s="235" t="s">
        <v>267</v>
      </c>
      <c r="H47" s="242">
        <v>20.5</v>
      </c>
      <c r="I47" s="242">
        <v>0</v>
      </c>
      <c r="J47" s="242">
        <v>0</v>
      </c>
      <c r="K47" s="242"/>
      <c r="L47" s="242"/>
      <c r="M47" s="242"/>
      <c r="N47" s="242"/>
      <c r="O47" s="242"/>
      <c r="P47" s="236">
        <f>O47</f>
        <v>0</v>
      </c>
      <c r="Q47" s="236">
        <f t="shared" si="0"/>
        <v>0</v>
      </c>
      <c r="R47" s="236">
        <f t="shared" si="1"/>
        <v>20.5</v>
      </c>
      <c r="S47" s="253"/>
    </row>
    <row r="48" spans="1:19" s="26" customFormat="1" ht="35.25" customHeight="1" x14ac:dyDescent="0.25">
      <c r="A48" s="254" t="s">
        <v>38</v>
      </c>
      <c r="B48" s="255" t="s">
        <v>295</v>
      </c>
      <c r="C48" s="143" t="s">
        <v>262</v>
      </c>
      <c r="D48" s="235" t="s">
        <v>188</v>
      </c>
      <c r="E48" s="235" t="s">
        <v>263</v>
      </c>
      <c r="F48" s="235" t="s">
        <v>296</v>
      </c>
      <c r="G48" s="235" t="s">
        <v>267</v>
      </c>
      <c r="H48" s="242">
        <v>3.4</v>
      </c>
      <c r="I48" s="242">
        <v>3.4</v>
      </c>
      <c r="J48" s="242"/>
      <c r="K48" s="242"/>
      <c r="L48" s="242"/>
      <c r="M48" s="242"/>
      <c r="N48" s="242"/>
      <c r="O48" s="242"/>
      <c r="P48" s="236">
        <f>O48</f>
        <v>0</v>
      </c>
      <c r="Q48" s="236">
        <f t="shared" si="0"/>
        <v>0</v>
      </c>
      <c r="R48" s="236">
        <f t="shared" si="1"/>
        <v>6.8</v>
      </c>
      <c r="S48" s="256"/>
    </row>
    <row r="49" spans="1:19" s="26" customFormat="1" ht="53.25" customHeight="1" x14ac:dyDescent="0.25">
      <c r="A49" s="257"/>
      <c r="B49" s="258"/>
      <c r="C49" s="206"/>
      <c r="D49" s="259" t="s">
        <v>188</v>
      </c>
      <c r="E49" s="259" t="s">
        <v>263</v>
      </c>
      <c r="F49" s="235" t="s">
        <v>296</v>
      </c>
      <c r="G49" s="235" t="s">
        <v>269</v>
      </c>
      <c r="H49" s="242">
        <v>0.6</v>
      </c>
      <c r="I49" s="242">
        <v>0.6</v>
      </c>
      <c r="J49" s="242"/>
      <c r="K49" s="242"/>
      <c r="L49" s="242"/>
      <c r="M49" s="242"/>
      <c r="N49" s="242"/>
      <c r="O49" s="242"/>
      <c r="P49" s="236">
        <f>O49</f>
        <v>0</v>
      </c>
      <c r="Q49" s="236">
        <f t="shared" si="0"/>
        <v>0</v>
      </c>
      <c r="R49" s="236">
        <f t="shared" si="1"/>
        <v>1.2</v>
      </c>
      <c r="S49" s="260"/>
    </row>
    <row r="50" spans="1:19" ht="35.1" customHeight="1" x14ac:dyDescent="0.25">
      <c r="A50" s="261" t="s">
        <v>41</v>
      </c>
      <c r="B50" s="262" t="s">
        <v>297</v>
      </c>
      <c r="C50" s="143" t="s">
        <v>262</v>
      </c>
      <c r="D50" s="259" t="s">
        <v>188</v>
      </c>
      <c r="E50" s="259" t="s">
        <v>298</v>
      </c>
      <c r="F50" s="235" t="s">
        <v>299</v>
      </c>
      <c r="G50" s="235" t="s">
        <v>300</v>
      </c>
      <c r="H50" s="242">
        <v>2490.8000000000002</v>
      </c>
      <c r="I50" s="242">
        <v>2975.5</v>
      </c>
      <c r="J50" s="242">
        <v>5157.1000000000004</v>
      </c>
      <c r="K50" s="242">
        <v>3953.2</v>
      </c>
      <c r="L50" s="242">
        <f>3232.2-682.5</f>
        <v>2549.6999999999998</v>
      </c>
      <c r="M50" s="242">
        <v>3541.5</v>
      </c>
      <c r="N50" s="242">
        <v>1724.1</v>
      </c>
      <c r="O50" s="242">
        <v>3439.5</v>
      </c>
      <c r="P50" s="242">
        <v>3439.5</v>
      </c>
      <c r="Q50" s="236">
        <f t="shared" si="0"/>
        <v>3439.5</v>
      </c>
      <c r="R50" s="236">
        <f t="shared" si="1"/>
        <v>32710.400000000001</v>
      </c>
      <c r="S50" s="256" t="s">
        <v>301</v>
      </c>
    </row>
    <row r="51" spans="1:19" ht="45" customHeight="1" x14ac:dyDescent="0.25">
      <c r="A51" s="263"/>
      <c r="B51" s="264"/>
      <c r="C51" s="206"/>
      <c r="D51" s="259" t="s">
        <v>188</v>
      </c>
      <c r="E51" s="259" t="s">
        <v>298</v>
      </c>
      <c r="F51" s="235" t="s">
        <v>299</v>
      </c>
      <c r="G51" s="235" t="s">
        <v>302</v>
      </c>
      <c r="H51" s="242">
        <v>27</v>
      </c>
      <c r="I51" s="242"/>
      <c r="J51" s="242"/>
      <c r="K51" s="242"/>
      <c r="L51" s="242"/>
      <c r="M51" s="242"/>
      <c r="N51" s="242"/>
      <c r="O51" s="242"/>
      <c r="P51" s="236">
        <f>O51</f>
        <v>0</v>
      </c>
      <c r="Q51" s="236">
        <f t="shared" si="0"/>
        <v>0</v>
      </c>
      <c r="R51" s="236">
        <f t="shared" si="1"/>
        <v>27</v>
      </c>
      <c r="S51" s="260"/>
    </row>
    <row r="52" spans="1:19" ht="35.1" customHeight="1" x14ac:dyDescent="0.25">
      <c r="A52" s="265" t="s">
        <v>303</v>
      </c>
      <c r="B52" s="266" t="s">
        <v>304</v>
      </c>
      <c r="C52" s="143" t="s">
        <v>262</v>
      </c>
      <c r="D52" s="235" t="s">
        <v>188</v>
      </c>
      <c r="E52" s="259" t="s">
        <v>263</v>
      </c>
      <c r="F52" s="259" t="s">
        <v>305</v>
      </c>
      <c r="G52" s="235" t="s">
        <v>267</v>
      </c>
      <c r="H52" s="242">
        <v>274.89999999999998</v>
      </c>
      <c r="I52" s="242">
        <v>279.10000000000002</v>
      </c>
      <c r="J52" s="242">
        <v>474.8</v>
      </c>
      <c r="K52" s="242">
        <v>380</v>
      </c>
      <c r="L52" s="242">
        <v>522.29999999999995</v>
      </c>
      <c r="M52" s="242">
        <v>301.3</v>
      </c>
      <c r="N52" s="242">
        <v>218.9</v>
      </c>
      <c r="O52" s="242">
        <v>768.2</v>
      </c>
      <c r="P52" s="242">
        <v>768.2</v>
      </c>
      <c r="Q52" s="236">
        <f t="shared" si="0"/>
        <v>768.2</v>
      </c>
      <c r="R52" s="236">
        <f t="shared" si="1"/>
        <v>4755.8999999999996</v>
      </c>
      <c r="S52" s="256" t="s">
        <v>306</v>
      </c>
    </row>
    <row r="53" spans="1:19" ht="35.1" customHeight="1" x14ac:dyDescent="0.25">
      <c r="A53" s="267"/>
      <c r="B53" s="268"/>
      <c r="C53" s="206"/>
      <c r="D53" s="235" t="s">
        <v>188</v>
      </c>
      <c r="E53" s="259" t="s">
        <v>263</v>
      </c>
      <c r="F53" s="259" t="s">
        <v>305</v>
      </c>
      <c r="G53" s="235" t="s">
        <v>269</v>
      </c>
      <c r="H53" s="242">
        <v>19</v>
      </c>
      <c r="I53" s="242">
        <v>25.1</v>
      </c>
      <c r="J53" s="242">
        <v>36.799999999999997</v>
      </c>
      <c r="K53" s="242">
        <v>52.6</v>
      </c>
      <c r="L53" s="242">
        <v>76.7</v>
      </c>
      <c r="M53" s="242">
        <v>19.2</v>
      </c>
      <c r="N53" s="242">
        <v>87</v>
      </c>
      <c r="O53" s="242">
        <v>83</v>
      </c>
      <c r="P53" s="242">
        <v>83</v>
      </c>
      <c r="Q53" s="236">
        <f t="shared" si="0"/>
        <v>83</v>
      </c>
      <c r="R53" s="236">
        <f t="shared" si="1"/>
        <v>565.4</v>
      </c>
      <c r="S53" s="260"/>
    </row>
    <row r="54" spans="1:19" ht="44.25" customHeight="1" x14ac:dyDescent="0.25">
      <c r="A54" s="265" t="s">
        <v>307</v>
      </c>
      <c r="B54" s="262" t="s">
        <v>308</v>
      </c>
      <c r="C54" s="143" t="s">
        <v>262</v>
      </c>
      <c r="D54" s="269" t="s">
        <v>188</v>
      </c>
      <c r="E54" s="235" t="s">
        <v>263</v>
      </c>
      <c r="F54" s="235" t="s">
        <v>309</v>
      </c>
      <c r="G54" s="235" t="s">
        <v>267</v>
      </c>
      <c r="H54" s="242">
        <v>4242.3</v>
      </c>
      <c r="I54" s="242">
        <v>0</v>
      </c>
      <c r="J54" s="242"/>
      <c r="K54" s="242"/>
      <c r="L54" s="242"/>
      <c r="M54" s="242"/>
      <c r="N54" s="242"/>
      <c r="O54" s="242"/>
      <c r="P54" s="236">
        <f t="shared" ref="P54:P60" si="2">O54</f>
        <v>0</v>
      </c>
      <c r="Q54" s="236">
        <f t="shared" si="0"/>
        <v>0</v>
      </c>
      <c r="R54" s="236">
        <f t="shared" si="1"/>
        <v>4242.3</v>
      </c>
      <c r="S54" s="256" t="s">
        <v>310</v>
      </c>
    </row>
    <row r="55" spans="1:19" ht="42" customHeight="1" x14ac:dyDescent="0.25">
      <c r="A55" s="267"/>
      <c r="B55" s="264"/>
      <c r="C55" s="145"/>
      <c r="D55" s="270"/>
      <c r="E55" s="235" t="s">
        <v>263</v>
      </c>
      <c r="F55" s="235" t="s">
        <v>311</v>
      </c>
      <c r="G55" s="235" t="s">
        <v>267</v>
      </c>
      <c r="H55" s="242">
        <v>15008.8</v>
      </c>
      <c r="I55" s="242"/>
      <c r="J55" s="242"/>
      <c r="K55" s="242"/>
      <c r="L55" s="242"/>
      <c r="M55" s="242"/>
      <c r="N55" s="242"/>
      <c r="O55" s="242"/>
      <c r="P55" s="236">
        <f t="shared" si="2"/>
        <v>0</v>
      </c>
      <c r="Q55" s="236">
        <f t="shared" si="0"/>
        <v>0</v>
      </c>
      <c r="R55" s="236">
        <f t="shared" si="1"/>
        <v>15008.8</v>
      </c>
      <c r="S55" s="260"/>
    </row>
    <row r="56" spans="1:19" ht="35.1" customHeight="1" x14ac:dyDescent="0.25">
      <c r="A56" s="271" t="s">
        <v>312</v>
      </c>
      <c r="B56" s="272" t="s">
        <v>313</v>
      </c>
      <c r="C56" s="206"/>
      <c r="D56" s="235" t="s">
        <v>188</v>
      </c>
      <c r="E56" s="235" t="s">
        <v>263</v>
      </c>
      <c r="F56" s="235" t="s">
        <v>314</v>
      </c>
      <c r="G56" s="235" t="s">
        <v>267</v>
      </c>
      <c r="H56" s="242">
        <v>1500.9</v>
      </c>
      <c r="I56" s="242"/>
      <c r="J56" s="242"/>
      <c r="K56" s="242"/>
      <c r="L56" s="242"/>
      <c r="M56" s="242"/>
      <c r="N56" s="242"/>
      <c r="O56" s="242"/>
      <c r="P56" s="236">
        <f t="shared" si="2"/>
        <v>0</v>
      </c>
      <c r="Q56" s="236">
        <f t="shared" si="0"/>
        <v>0</v>
      </c>
      <c r="R56" s="236">
        <f t="shared" si="1"/>
        <v>1500.9</v>
      </c>
      <c r="S56" s="273"/>
    </row>
    <row r="57" spans="1:19" ht="49.5" customHeight="1" x14ac:dyDescent="0.25">
      <c r="A57" s="265" t="s">
        <v>315</v>
      </c>
      <c r="B57" s="262" t="s">
        <v>316</v>
      </c>
      <c r="C57" s="143" t="s">
        <v>262</v>
      </c>
      <c r="D57" s="235" t="s">
        <v>188</v>
      </c>
      <c r="E57" s="235" t="s">
        <v>263</v>
      </c>
      <c r="F57" s="235" t="s">
        <v>317</v>
      </c>
      <c r="G57" s="235" t="s">
        <v>269</v>
      </c>
      <c r="H57" s="242">
        <v>2</v>
      </c>
      <c r="I57" s="242"/>
      <c r="J57" s="242"/>
      <c r="K57" s="242"/>
      <c r="L57" s="242"/>
      <c r="M57" s="242"/>
      <c r="N57" s="242"/>
      <c r="O57" s="242"/>
      <c r="P57" s="236">
        <f t="shared" si="2"/>
        <v>0</v>
      </c>
      <c r="Q57" s="236">
        <f t="shared" si="0"/>
        <v>0</v>
      </c>
      <c r="R57" s="236">
        <f t="shared" si="1"/>
        <v>2</v>
      </c>
      <c r="S57" s="256" t="s">
        <v>318</v>
      </c>
    </row>
    <row r="58" spans="1:19" ht="62.25" customHeight="1" x14ac:dyDescent="0.25">
      <c r="A58" s="267"/>
      <c r="B58" s="264"/>
      <c r="C58" s="206"/>
      <c r="D58" s="235" t="s">
        <v>188</v>
      </c>
      <c r="E58" s="235" t="s">
        <v>263</v>
      </c>
      <c r="F58" s="235" t="s">
        <v>317</v>
      </c>
      <c r="G58" s="235" t="s">
        <v>267</v>
      </c>
      <c r="H58" s="242">
        <v>3</v>
      </c>
      <c r="I58" s="242"/>
      <c r="J58" s="242"/>
      <c r="K58" s="242"/>
      <c r="L58" s="242"/>
      <c r="M58" s="242"/>
      <c r="N58" s="242"/>
      <c r="O58" s="242"/>
      <c r="P58" s="236">
        <f t="shared" si="2"/>
        <v>0</v>
      </c>
      <c r="Q58" s="236">
        <f t="shared" si="0"/>
        <v>0</v>
      </c>
      <c r="R58" s="236">
        <f t="shared" si="1"/>
        <v>3</v>
      </c>
      <c r="S58" s="260"/>
    </row>
    <row r="59" spans="1:19" ht="35.1" customHeight="1" x14ac:dyDescent="0.25">
      <c r="A59" s="274" t="s">
        <v>319</v>
      </c>
      <c r="B59" s="256" t="s">
        <v>320</v>
      </c>
      <c r="C59" s="143" t="s">
        <v>262</v>
      </c>
      <c r="D59" s="235" t="s">
        <v>188</v>
      </c>
      <c r="E59" s="235" t="s">
        <v>321</v>
      </c>
      <c r="F59" s="235" t="s">
        <v>322</v>
      </c>
      <c r="G59" s="21">
        <v>622</v>
      </c>
      <c r="H59" s="242">
        <v>13</v>
      </c>
      <c r="I59" s="242">
        <v>13</v>
      </c>
      <c r="J59" s="275"/>
      <c r="K59" s="275"/>
      <c r="L59" s="275"/>
      <c r="M59" s="275"/>
      <c r="N59" s="275"/>
      <c r="O59" s="275"/>
      <c r="P59" s="236">
        <f t="shared" si="2"/>
        <v>0</v>
      </c>
      <c r="Q59" s="236">
        <f t="shared" si="0"/>
        <v>0</v>
      </c>
      <c r="R59" s="236">
        <f t="shared" si="1"/>
        <v>26</v>
      </c>
      <c r="S59" s="126" t="s">
        <v>323</v>
      </c>
    </row>
    <row r="60" spans="1:19" ht="36" customHeight="1" x14ac:dyDescent="0.25">
      <c r="A60" s="274"/>
      <c r="B60" s="260"/>
      <c r="C60" s="206"/>
      <c r="D60" s="235" t="s">
        <v>188</v>
      </c>
      <c r="E60" s="235" t="s">
        <v>321</v>
      </c>
      <c r="F60" s="235" t="s">
        <v>322</v>
      </c>
      <c r="G60" s="21">
        <v>244</v>
      </c>
      <c r="H60" s="242"/>
      <c r="I60" s="242"/>
      <c r="J60" s="242"/>
      <c r="K60" s="242"/>
      <c r="L60" s="242"/>
      <c r="M60" s="242"/>
      <c r="N60" s="242"/>
      <c r="O60" s="242"/>
      <c r="P60" s="236">
        <f t="shared" si="2"/>
        <v>0</v>
      </c>
      <c r="Q60" s="236">
        <f t="shared" si="0"/>
        <v>0</v>
      </c>
      <c r="R60" s="236">
        <f t="shared" si="1"/>
        <v>0</v>
      </c>
      <c r="S60" s="276"/>
    </row>
    <row r="61" spans="1:19" ht="22.5" customHeight="1" x14ac:dyDescent="0.25">
      <c r="A61" s="277" t="s">
        <v>324</v>
      </c>
      <c r="B61" s="278"/>
      <c r="C61" s="279"/>
      <c r="D61" s="280"/>
      <c r="E61" s="281"/>
      <c r="F61" s="280"/>
      <c r="G61" s="280"/>
      <c r="H61" s="242">
        <f t="shared" ref="H61:N61" si="3">SUM(H7:H60)</f>
        <v>198091.59999999992</v>
      </c>
      <c r="I61" s="242">
        <f t="shared" si="3"/>
        <v>204824.59999999998</v>
      </c>
      <c r="J61" s="242">
        <f t="shared" si="3"/>
        <v>219030.49999999997</v>
      </c>
      <c r="K61" s="242">
        <f t="shared" si="3"/>
        <v>218633.10000000003</v>
      </c>
      <c r="L61" s="242">
        <f t="shared" si="3"/>
        <v>229336.90000000002</v>
      </c>
      <c r="M61" s="242">
        <f t="shared" si="3"/>
        <v>267495.39999999997</v>
      </c>
      <c r="N61" s="242">
        <f t="shared" si="3"/>
        <v>275550.39999999997</v>
      </c>
      <c r="O61" s="242">
        <f>SUM(O7:O60)</f>
        <v>312164</v>
      </c>
      <c r="P61" s="242">
        <f>SUM(P7:P60)</f>
        <v>295017.99999999994</v>
      </c>
      <c r="Q61" s="236">
        <f t="shared" si="0"/>
        <v>295017.99999999994</v>
      </c>
      <c r="R61" s="236">
        <f t="shared" si="1"/>
        <v>2515162.4999999995</v>
      </c>
      <c r="S61" s="123"/>
    </row>
    <row r="62" spans="1:19" ht="20.25" customHeight="1" x14ac:dyDescent="0.25">
      <c r="A62" s="277" t="s">
        <v>325</v>
      </c>
      <c r="B62" s="278"/>
      <c r="C62" s="53"/>
      <c r="D62" s="282"/>
      <c r="E62" s="282"/>
      <c r="F62" s="282"/>
      <c r="G62" s="282"/>
      <c r="H62" s="242">
        <f t="shared" ref="H62:M62" si="4">H61</f>
        <v>198091.59999999992</v>
      </c>
      <c r="I62" s="242">
        <f t="shared" si="4"/>
        <v>204824.59999999998</v>
      </c>
      <c r="J62" s="242">
        <f t="shared" si="4"/>
        <v>219030.49999999997</v>
      </c>
      <c r="K62" s="242">
        <f t="shared" si="4"/>
        <v>218633.10000000003</v>
      </c>
      <c r="L62" s="242">
        <f t="shared" si="4"/>
        <v>229336.90000000002</v>
      </c>
      <c r="M62" s="242">
        <f t="shared" si="4"/>
        <v>267495.39999999997</v>
      </c>
      <c r="N62" s="242">
        <f>N61</f>
        <v>275550.39999999997</v>
      </c>
      <c r="O62" s="242">
        <f>O61</f>
        <v>312164</v>
      </c>
      <c r="P62" s="236">
        <f>P63+P64+P65</f>
        <v>295018</v>
      </c>
      <c r="Q62" s="236">
        <f t="shared" si="0"/>
        <v>295018</v>
      </c>
      <c r="R62" s="236">
        <f t="shared" si="1"/>
        <v>2515162.4999999995</v>
      </c>
      <c r="S62" s="123"/>
    </row>
    <row r="63" spans="1:19" ht="20.25" customHeight="1" x14ac:dyDescent="0.25">
      <c r="A63" s="277" t="s">
        <v>326</v>
      </c>
      <c r="B63" s="278"/>
      <c r="C63" s="53" t="s">
        <v>326</v>
      </c>
      <c r="D63" s="282"/>
      <c r="E63" s="282"/>
      <c r="F63" s="282"/>
      <c r="G63" s="282"/>
      <c r="H63" s="242">
        <f>H23+H24+H25+H26+H27+H28+H29+H30+H31+H32+H33+H34+H40+H41+H43+H44+H50+H51+H52+H53+H54+H55</f>
        <v>92552.900000000023</v>
      </c>
      <c r="I63" s="242">
        <f>I23+I24+I25+I26+I27+I28+I29+I30+I31+I32+I33+I34+I40+I41+I43+I44+I50+I51+I52+I53+I54+I55</f>
        <v>81485.8</v>
      </c>
      <c r="J63" s="242">
        <f>J23+J24+J25+J26+J27+J28+J29+J30+J31+J32+J33+J34+J40+J41+J43+J44+J50+J51+J52+J53+J54+J55</f>
        <v>116158.70000000001</v>
      </c>
      <c r="K63" s="242">
        <f>K23+K24+K25+K26+K27+K28+K29+K30+K31+K32+K33+K34+K40+K41+K43+K44+K50+K51+K52+K53+K54+K55+K39</f>
        <v>122752.3</v>
      </c>
      <c r="L63" s="242">
        <f>L23+L24+L25+L26+L27+L28+L29+L30+L31+L32+L33+L34+L40+L41+L43+L44+L50+L51+L52+L53+L54+L55+L35+L36</f>
        <v>129296.8</v>
      </c>
      <c r="M63" s="242">
        <f>M23+M24+M25+M26+M27+M28+M29+M30+M31+M32+M33+M34+M40+M41+M43+M44+M50+M51+M52+M53+M54+M55+M35+M36+M21</f>
        <v>147632</v>
      </c>
      <c r="N63" s="242">
        <f>N23+N24+N25+N26+N27+N28+N29+N30+N31+N32+N33+N34+N40+N41+N43+N44+N50+N51+N52+N53+N54+N55+N35+N36+N46+N45+N37+N38</f>
        <v>168234.09999999998</v>
      </c>
      <c r="O63" s="283">
        <f>O23+O24+O25+O26+O27+O28+O29+O30+O31+O32+O33+O34+O40+O41+O43+O44+O50+O51+O52+O53+O54+O55+O39</f>
        <v>175129.60000000003</v>
      </c>
      <c r="P63" s="283">
        <f>P23+P24+P25+P26+P27+P28+P29+P30+P31+P32+P33+P34+P40+P41+P43+P44+P50+P51+P52+P53+P54+P55</f>
        <v>167401.1</v>
      </c>
      <c r="Q63" s="283">
        <f>Q23+Q24+Q25+Q26+Q27+Q28+Q29+Q30+Q31+Q32+Q33+Q34+Q40+Q41+Q43+Q44+Q50+Q51+Q52+Q53+Q54+Q55</f>
        <v>167401.1</v>
      </c>
      <c r="R63" s="236">
        <f t="shared" si="1"/>
        <v>1368044.4000000001</v>
      </c>
      <c r="S63" s="123"/>
    </row>
    <row r="64" spans="1:19" ht="20.25" customHeight="1" x14ac:dyDescent="0.25">
      <c r="A64" s="277" t="s">
        <v>327</v>
      </c>
      <c r="B64" s="278"/>
      <c r="C64" s="53" t="s">
        <v>327</v>
      </c>
      <c r="D64" s="282"/>
      <c r="E64" s="282"/>
      <c r="F64" s="282"/>
      <c r="G64" s="282"/>
      <c r="H64" s="242">
        <f>H7+H8+H9+H10+H18+H19+H21+H22+H47+H48+H49+H56+H57+H58+H59+H60</f>
        <v>92376.4</v>
      </c>
      <c r="I64" s="242">
        <f>I7+I8+I9+I10+I18+I19+I21+I22+I47+I48+I49+I56+I57+I58+I59+I60</f>
        <v>110895</v>
      </c>
      <c r="J64" s="242">
        <f>J7+J8+J9+J10+J18+J19+J21+J22+J47+J48+J49+J56+J57+J58+J59+J60</f>
        <v>86284.2</v>
      </c>
      <c r="K64" s="242">
        <f>K7+K8+K9+K10+K18+K19+K21+K22+K47+K48+K49+K56+K57+K58+K59+K60</f>
        <v>76465.3</v>
      </c>
      <c r="L64" s="242">
        <f>L7+L8+L9+L10+L18+L19+L21+L22+L47+L48+L49+L56+L57+L58+L59+L60</f>
        <v>78788.700000000012</v>
      </c>
      <c r="M64" s="242">
        <f>M7+M8+M9+M10+M18+M19+M22+M47+M48+M49+M56+M57+M58+M59+M60+M20</f>
        <v>99489.9</v>
      </c>
      <c r="N64" s="242">
        <f>N7+N8+N9+N10+N18+N19+N21+N22+N47+N48+N49+N56+N57+N58+N59+N60+N20</f>
        <v>92286.7</v>
      </c>
      <c r="O64" s="283">
        <f>O7+O8+O9+O10+O18+O19+O21+O22+O47+O48+O49+O56+O57+O58+O59+O60+O20+O11+O12+O13+O14+O15+O16+O17</f>
        <v>117076.7</v>
      </c>
      <c r="P64" s="283">
        <f>P7+P8+P9+P10+P18+P19+P21+P22+P47+P48+P49+P56+P57+P58+P59+P60+P20+P11+P12+P13+P14+P15+P16</f>
        <v>106535.3</v>
      </c>
      <c r="Q64" s="283">
        <f>Q7+Q8+Q9+Q10+Q18+Q19+Q21+Q22+Q47+Q48+Q49+Q56+Q57+Q58+Q59+Q60+Q20+Q11+Q12+Q13+Q14+Q15+Q16</f>
        <v>106535.3</v>
      </c>
      <c r="R64" s="236">
        <f t="shared" si="1"/>
        <v>966733.5</v>
      </c>
      <c r="S64" s="123"/>
    </row>
    <row r="65" spans="1:19" ht="20.25" customHeight="1" x14ac:dyDescent="0.25">
      <c r="A65" s="277" t="s">
        <v>328</v>
      </c>
      <c r="B65" s="278"/>
      <c r="C65" s="53" t="s">
        <v>328</v>
      </c>
      <c r="D65" s="282"/>
      <c r="E65" s="282"/>
      <c r="F65" s="282"/>
      <c r="G65" s="282"/>
      <c r="H65" s="242">
        <f t="shared" ref="H65:Q65" si="5">H42</f>
        <v>13162.3</v>
      </c>
      <c r="I65" s="242">
        <f t="shared" si="5"/>
        <v>12443.8</v>
      </c>
      <c r="J65" s="242">
        <f t="shared" si="5"/>
        <v>16587.599999999999</v>
      </c>
      <c r="K65" s="242">
        <f t="shared" si="5"/>
        <v>19415.5</v>
      </c>
      <c r="L65" s="242">
        <f t="shared" si="5"/>
        <v>21251.4</v>
      </c>
      <c r="M65" s="242">
        <f t="shared" si="5"/>
        <v>20373.5</v>
      </c>
      <c r="N65" s="242">
        <f t="shared" si="5"/>
        <v>15029.6</v>
      </c>
      <c r="O65" s="242">
        <f t="shared" si="5"/>
        <v>19957.7</v>
      </c>
      <c r="P65" s="242">
        <f t="shared" si="5"/>
        <v>21081.599999999999</v>
      </c>
      <c r="Q65" s="242">
        <f t="shared" si="5"/>
        <v>21081.599999999999</v>
      </c>
      <c r="R65" s="236">
        <f t="shared" si="1"/>
        <v>180384.60000000003</v>
      </c>
      <c r="S65" s="123"/>
    </row>
    <row r="66" spans="1:19" s="288" customFormat="1" x14ac:dyDescent="0.25">
      <c r="A66" s="284"/>
      <c r="B66" s="284"/>
      <c r="C66" s="285"/>
      <c r="D66" s="286"/>
      <c r="E66" s="286"/>
      <c r="F66" s="286"/>
      <c r="G66" s="286"/>
      <c r="H66" s="286"/>
      <c r="I66" s="287"/>
      <c r="J66" s="287"/>
      <c r="K66" s="59"/>
      <c r="L66" s="59"/>
      <c r="M66" s="59"/>
      <c r="N66" s="59"/>
      <c r="O66" s="59"/>
      <c r="P66" s="59"/>
      <c r="Q66" s="59"/>
      <c r="R66" s="59"/>
      <c r="S66" s="92"/>
    </row>
    <row r="67" spans="1:19" s="92" customFormat="1" x14ac:dyDescent="0.25">
      <c r="A67" s="289"/>
      <c r="B67" s="289"/>
      <c r="C67" s="290"/>
      <c r="D67" s="291"/>
      <c r="E67" s="291"/>
      <c r="F67" s="291"/>
      <c r="G67" s="291"/>
      <c r="H67" s="291"/>
      <c r="I67" s="291"/>
      <c r="J67" s="291"/>
      <c r="K67" s="291"/>
      <c r="L67" s="59"/>
      <c r="M67" s="59"/>
      <c r="N67" s="59"/>
      <c r="O67" s="59"/>
      <c r="P67" s="59"/>
      <c r="Q67" s="59"/>
      <c r="R67" s="292"/>
    </row>
    <row r="68" spans="1:19" x14ac:dyDescent="0.25">
      <c r="A68" s="293"/>
      <c r="B68" s="293"/>
      <c r="C68" s="293" t="s">
        <v>159</v>
      </c>
      <c r="D68" s="293"/>
      <c r="E68" s="293"/>
      <c r="F68" s="293"/>
      <c r="G68" s="294"/>
      <c r="H68" s="294"/>
      <c r="I68" s="295"/>
      <c r="S68" s="296" t="s">
        <v>160</v>
      </c>
    </row>
    <row r="69" spans="1:19" x14ac:dyDescent="0.25">
      <c r="A69" s="297"/>
      <c r="B69" s="298"/>
      <c r="C69" s="299"/>
      <c r="D69" s="300"/>
      <c r="E69" s="300"/>
      <c r="F69" s="300"/>
      <c r="G69" s="300"/>
      <c r="H69" s="300"/>
    </row>
    <row r="70" spans="1:19" x14ac:dyDescent="0.25">
      <c r="A70" s="297"/>
      <c r="B70" s="298"/>
      <c r="C70" s="299"/>
      <c r="D70" s="300"/>
      <c r="E70" s="300"/>
      <c r="F70" s="300"/>
      <c r="G70" s="300"/>
      <c r="H70" s="300"/>
    </row>
    <row r="71" spans="1:19" x14ac:dyDescent="0.25">
      <c r="A71" s="297"/>
      <c r="B71" s="298"/>
      <c r="C71" s="299"/>
      <c r="D71" s="300"/>
      <c r="E71" s="300"/>
      <c r="F71" s="300"/>
      <c r="G71" s="300"/>
      <c r="H71" s="300"/>
    </row>
    <row r="72" spans="1:19" x14ac:dyDescent="0.25">
      <c r="A72" s="297"/>
      <c r="B72" s="298"/>
      <c r="C72" s="299"/>
      <c r="D72" s="300"/>
      <c r="E72" s="300"/>
      <c r="F72" s="300"/>
      <c r="G72" s="300"/>
      <c r="H72" s="300"/>
    </row>
    <row r="73" spans="1:19" x14ac:dyDescent="0.25">
      <c r="A73" s="297"/>
      <c r="B73" s="298"/>
      <c r="C73" s="299"/>
      <c r="D73" s="300"/>
      <c r="E73" s="300"/>
      <c r="F73" s="300"/>
      <c r="G73" s="300"/>
      <c r="H73" s="300"/>
    </row>
    <row r="74" spans="1:19" x14ac:dyDescent="0.25">
      <c r="A74" s="297"/>
      <c r="B74" s="298"/>
      <c r="C74" s="299"/>
      <c r="D74" s="300"/>
      <c r="E74" s="300"/>
      <c r="F74" s="300"/>
      <c r="G74" s="300"/>
      <c r="H74" s="300"/>
    </row>
    <row r="75" spans="1:19" x14ac:dyDescent="0.25">
      <c r="A75" s="297"/>
      <c r="B75" s="298"/>
      <c r="C75" s="299"/>
      <c r="D75" s="300"/>
      <c r="E75" s="300"/>
      <c r="F75" s="300"/>
      <c r="G75" s="300"/>
      <c r="H75" s="300"/>
    </row>
    <row r="76" spans="1:19" x14ac:dyDescent="0.25">
      <c r="A76" s="297"/>
      <c r="B76" s="298"/>
      <c r="C76" s="299"/>
      <c r="D76" s="300"/>
      <c r="E76" s="300"/>
      <c r="F76" s="300"/>
      <c r="G76" s="300"/>
      <c r="H76" s="300"/>
    </row>
    <row r="77" spans="1:19" x14ac:dyDescent="0.25">
      <c r="A77" s="297"/>
      <c r="B77" s="298"/>
      <c r="C77" s="299"/>
      <c r="D77" s="300"/>
      <c r="E77" s="300"/>
      <c r="F77" s="300"/>
      <c r="G77" s="300"/>
      <c r="H77" s="300"/>
    </row>
    <row r="78" spans="1:19" x14ac:dyDescent="0.25">
      <c r="A78" s="297"/>
      <c r="B78" s="298"/>
      <c r="C78" s="299"/>
      <c r="D78" s="300"/>
      <c r="E78" s="300"/>
      <c r="F78" s="300"/>
      <c r="G78" s="300"/>
      <c r="H78" s="300"/>
    </row>
    <row r="79" spans="1:19" x14ac:dyDescent="0.25">
      <c r="A79" s="297"/>
      <c r="B79" s="298"/>
      <c r="C79" s="299"/>
      <c r="D79" s="300"/>
      <c r="E79" s="300"/>
      <c r="F79" s="300"/>
      <c r="G79" s="300"/>
      <c r="H79" s="300"/>
    </row>
    <row r="80" spans="1:19" x14ac:dyDescent="0.25">
      <c r="A80" s="297"/>
      <c r="B80" s="298"/>
      <c r="C80" s="299"/>
      <c r="D80" s="300"/>
      <c r="E80" s="300"/>
      <c r="F80" s="300"/>
      <c r="G80" s="300"/>
      <c r="H80" s="300"/>
    </row>
    <row r="81" spans="1:8" x14ac:dyDescent="0.25">
      <c r="A81" s="297"/>
      <c r="B81" s="298"/>
      <c r="C81" s="299"/>
      <c r="D81" s="300"/>
      <c r="E81" s="300"/>
      <c r="F81" s="300"/>
      <c r="G81" s="300"/>
      <c r="H81" s="300"/>
    </row>
    <row r="82" spans="1:8" x14ac:dyDescent="0.25">
      <c r="A82" s="297"/>
      <c r="B82" s="298"/>
      <c r="C82" s="299"/>
      <c r="D82" s="300"/>
      <c r="E82" s="300"/>
      <c r="F82" s="300"/>
      <c r="G82" s="300"/>
      <c r="H82" s="300"/>
    </row>
    <row r="83" spans="1:8" x14ac:dyDescent="0.25">
      <c r="A83" s="297"/>
      <c r="B83" s="298"/>
      <c r="C83" s="299"/>
      <c r="D83" s="300"/>
      <c r="E83" s="300"/>
      <c r="F83" s="300"/>
      <c r="G83" s="300"/>
      <c r="H83" s="300"/>
    </row>
    <row r="84" spans="1:8" x14ac:dyDescent="0.25">
      <c r="A84" s="297"/>
      <c r="B84" s="298"/>
      <c r="C84" s="299"/>
      <c r="D84" s="300"/>
      <c r="E84" s="300"/>
      <c r="F84" s="300"/>
      <c r="G84" s="300"/>
      <c r="H84" s="300"/>
    </row>
    <row r="85" spans="1:8" x14ac:dyDescent="0.25">
      <c r="A85" s="297"/>
      <c r="B85" s="298"/>
      <c r="C85" s="299"/>
      <c r="D85" s="300"/>
      <c r="E85" s="300"/>
      <c r="F85" s="300"/>
      <c r="G85" s="300"/>
      <c r="H85" s="300"/>
    </row>
    <row r="86" spans="1:8" x14ac:dyDescent="0.25">
      <c r="A86" s="297"/>
      <c r="B86" s="298"/>
      <c r="C86" s="299"/>
      <c r="D86" s="300"/>
      <c r="E86" s="300"/>
      <c r="F86" s="300"/>
      <c r="G86" s="300"/>
      <c r="H86" s="300"/>
    </row>
    <row r="87" spans="1:8" x14ac:dyDescent="0.25">
      <c r="A87" s="297"/>
      <c r="B87" s="298"/>
      <c r="C87" s="299"/>
      <c r="D87" s="300"/>
      <c r="E87" s="300"/>
      <c r="F87" s="300"/>
      <c r="G87" s="300"/>
      <c r="H87" s="300"/>
    </row>
    <row r="88" spans="1:8" x14ac:dyDescent="0.25">
      <c r="A88" s="297"/>
      <c r="B88" s="298"/>
      <c r="C88" s="299"/>
      <c r="D88" s="300"/>
      <c r="E88" s="300"/>
      <c r="F88" s="300"/>
      <c r="G88" s="300"/>
      <c r="H88" s="300"/>
    </row>
    <row r="89" spans="1:8" x14ac:dyDescent="0.25">
      <c r="A89" s="297"/>
      <c r="B89" s="298"/>
      <c r="C89" s="299"/>
      <c r="D89" s="300"/>
      <c r="E89" s="300"/>
      <c r="F89" s="300"/>
      <c r="G89" s="300"/>
      <c r="H89" s="300"/>
    </row>
    <row r="90" spans="1:8" x14ac:dyDescent="0.25">
      <c r="A90" s="297"/>
      <c r="B90" s="298"/>
      <c r="C90" s="299"/>
      <c r="D90" s="300"/>
      <c r="E90" s="300"/>
      <c r="F90" s="300"/>
      <c r="G90" s="300"/>
      <c r="H90" s="300"/>
    </row>
    <row r="91" spans="1:8" x14ac:dyDescent="0.25">
      <c r="A91" s="297"/>
      <c r="B91" s="298"/>
      <c r="C91" s="299"/>
      <c r="D91" s="300"/>
      <c r="E91" s="300"/>
      <c r="F91" s="300"/>
      <c r="G91" s="300"/>
      <c r="H91" s="300"/>
    </row>
    <row r="92" spans="1:8" x14ac:dyDescent="0.25">
      <c r="A92" s="297"/>
      <c r="B92" s="298"/>
      <c r="C92" s="299"/>
      <c r="D92" s="300"/>
      <c r="E92" s="300"/>
      <c r="F92" s="300"/>
      <c r="G92" s="300"/>
      <c r="H92" s="300"/>
    </row>
    <row r="93" spans="1:8" x14ac:dyDescent="0.25">
      <c r="A93" s="297"/>
      <c r="B93" s="298"/>
      <c r="C93" s="299"/>
      <c r="D93" s="300"/>
      <c r="E93" s="300"/>
      <c r="F93" s="300"/>
      <c r="G93" s="300"/>
      <c r="H93" s="300"/>
    </row>
    <row r="94" spans="1:8" x14ac:dyDescent="0.25">
      <c r="A94" s="297"/>
      <c r="B94" s="298"/>
      <c r="C94" s="299"/>
      <c r="D94" s="300"/>
      <c r="E94" s="300"/>
      <c r="F94" s="300"/>
      <c r="G94" s="300"/>
      <c r="H94" s="300"/>
    </row>
    <row r="95" spans="1:8" x14ac:dyDescent="0.25">
      <c r="A95" s="297"/>
      <c r="B95" s="298"/>
      <c r="C95" s="299"/>
      <c r="D95" s="300"/>
      <c r="E95" s="300"/>
      <c r="F95" s="300"/>
      <c r="G95" s="300"/>
      <c r="H95" s="300"/>
    </row>
    <row r="96" spans="1:8" x14ac:dyDescent="0.25">
      <c r="A96" s="297"/>
      <c r="B96" s="298"/>
      <c r="C96" s="299"/>
      <c r="D96" s="300"/>
      <c r="E96" s="300"/>
      <c r="F96" s="300"/>
      <c r="G96" s="300"/>
      <c r="H96" s="300"/>
    </row>
    <row r="97" spans="1:8" x14ac:dyDescent="0.25">
      <c r="A97" s="297"/>
      <c r="B97" s="298"/>
      <c r="C97" s="299"/>
      <c r="D97" s="300"/>
      <c r="E97" s="300"/>
      <c r="F97" s="300"/>
      <c r="G97" s="300"/>
      <c r="H97" s="300"/>
    </row>
    <row r="98" spans="1:8" x14ac:dyDescent="0.25">
      <c r="A98" s="297"/>
      <c r="B98" s="298"/>
      <c r="C98" s="299"/>
      <c r="D98" s="300"/>
      <c r="E98" s="300"/>
      <c r="F98" s="300"/>
      <c r="G98" s="300"/>
      <c r="H98" s="300"/>
    </row>
    <row r="99" spans="1:8" x14ac:dyDescent="0.25">
      <c r="A99" s="297"/>
      <c r="B99" s="298"/>
      <c r="C99" s="299"/>
      <c r="D99" s="300"/>
      <c r="E99" s="300"/>
      <c r="F99" s="300"/>
      <c r="G99" s="300"/>
      <c r="H99" s="300"/>
    </row>
    <row r="100" spans="1:8" x14ac:dyDescent="0.25">
      <c r="A100" s="297"/>
      <c r="B100" s="298"/>
      <c r="C100" s="299"/>
      <c r="D100" s="300"/>
      <c r="E100" s="300"/>
      <c r="F100" s="300"/>
      <c r="G100" s="300"/>
      <c r="H100" s="300"/>
    </row>
    <row r="101" spans="1:8" x14ac:dyDescent="0.25">
      <c r="A101" s="297"/>
      <c r="B101" s="298"/>
      <c r="C101" s="299"/>
      <c r="D101" s="300"/>
      <c r="E101" s="300"/>
      <c r="F101" s="300"/>
      <c r="G101" s="300"/>
      <c r="H101" s="300"/>
    </row>
    <row r="102" spans="1:8" x14ac:dyDescent="0.25">
      <c r="A102" s="297"/>
      <c r="B102" s="298"/>
      <c r="C102" s="299"/>
      <c r="D102" s="300"/>
      <c r="E102" s="300"/>
      <c r="F102" s="300"/>
      <c r="G102" s="300"/>
      <c r="H102" s="300"/>
    </row>
    <row r="103" spans="1:8" x14ac:dyDescent="0.25">
      <c r="A103" s="297"/>
      <c r="B103" s="298"/>
      <c r="C103" s="299"/>
      <c r="D103" s="300"/>
      <c r="E103" s="300"/>
      <c r="F103" s="300"/>
      <c r="G103" s="300"/>
      <c r="H103" s="300"/>
    </row>
    <row r="104" spans="1:8" x14ac:dyDescent="0.25">
      <c r="A104" s="297"/>
      <c r="B104" s="298"/>
      <c r="C104" s="299"/>
      <c r="D104" s="300"/>
      <c r="E104" s="300"/>
      <c r="F104" s="300"/>
      <c r="G104" s="300"/>
      <c r="H104" s="300"/>
    </row>
    <row r="105" spans="1:8" x14ac:dyDescent="0.25">
      <c r="A105" s="297"/>
      <c r="B105" s="298"/>
      <c r="C105" s="299"/>
      <c r="D105" s="300"/>
      <c r="E105" s="300"/>
      <c r="F105" s="300"/>
      <c r="G105" s="300"/>
      <c r="H105" s="300"/>
    </row>
  </sheetData>
  <mergeCells count="54">
    <mergeCell ref="A63:B63"/>
    <mergeCell ref="A64:B64"/>
    <mergeCell ref="A65:B65"/>
    <mergeCell ref="A66:B66"/>
    <mergeCell ref="A67:B67"/>
    <mergeCell ref="A59:A60"/>
    <mergeCell ref="B59:B60"/>
    <mergeCell ref="C59:C60"/>
    <mergeCell ref="S59:S60"/>
    <mergeCell ref="A61:B61"/>
    <mergeCell ref="A62:B62"/>
    <mergeCell ref="A54:A55"/>
    <mergeCell ref="B54:B55"/>
    <mergeCell ref="C54:C56"/>
    <mergeCell ref="D54:D55"/>
    <mergeCell ref="S54:S55"/>
    <mergeCell ref="A57:A58"/>
    <mergeCell ref="B57:B58"/>
    <mergeCell ref="C57:C58"/>
    <mergeCell ref="S57:S58"/>
    <mergeCell ref="A50:A51"/>
    <mergeCell ref="B50:B51"/>
    <mergeCell ref="C50:C51"/>
    <mergeCell ref="S50:S51"/>
    <mergeCell ref="A52:A53"/>
    <mergeCell ref="B52:B53"/>
    <mergeCell ref="C52:C53"/>
    <mergeCell ref="S52:S53"/>
    <mergeCell ref="A43:A47"/>
    <mergeCell ref="B43:B44"/>
    <mergeCell ref="C43:C44"/>
    <mergeCell ref="S43:S47"/>
    <mergeCell ref="C46:C47"/>
    <mergeCell ref="A48:A49"/>
    <mergeCell ref="B48:B49"/>
    <mergeCell ref="C48:C49"/>
    <mergeCell ref="S48:S49"/>
    <mergeCell ref="A5:S5"/>
    <mergeCell ref="A6:S6"/>
    <mergeCell ref="A7:A42"/>
    <mergeCell ref="B7:B22"/>
    <mergeCell ref="C7:C22"/>
    <mergeCell ref="S7:S42"/>
    <mergeCell ref="B23:B41"/>
    <mergeCell ref="C23:C41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58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27" activePane="bottomLeft" state="frozen"/>
      <selection activeCell="Q12" sqref="Q12"/>
      <selection pane="bottomLeft" activeCell="K17" sqref="K17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4" width="11.42578125" style="4" hidden="1" customWidth="1"/>
    <col min="5" max="7" width="11.42578125" style="4" customWidth="1"/>
    <col min="8" max="10" width="11.42578125" style="26" customWidth="1"/>
    <col min="11" max="11" width="9.140625" style="26"/>
    <col min="12" max="12" width="8.140625" style="4" customWidth="1"/>
    <col min="13" max="13" width="9.140625" style="4" customWidth="1"/>
    <col min="14" max="16384" width="9.140625" style="4"/>
  </cols>
  <sheetData>
    <row r="1" spans="1:16" ht="36.75" customHeight="1" x14ac:dyDescent="0.25">
      <c r="B1" s="2"/>
      <c r="C1" s="3"/>
      <c r="E1" s="5" t="s">
        <v>329</v>
      </c>
      <c r="F1" s="5"/>
      <c r="G1" s="5"/>
      <c r="H1" s="5"/>
      <c r="I1" s="5"/>
      <c r="J1" s="5"/>
      <c r="K1" s="5"/>
      <c r="L1" s="5"/>
    </row>
    <row r="2" spans="1:16" ht="37.5" customHeight="1" x14ac:dyDescent="0.25">
      <c r="A2" s="142" t="s">
        <v>246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6" ht="25.5" customHeight="1" x14ac:dyDescent="0.25">
      <c r="A3" s="8" t="s">
        <v>2</v>
      </c>
      <c r="B3" s="9" t="s">
        <v>247</v>
      </c>
      <c r="C3" s="9" t="s">
        <v>4</v>
      </c>
      <c r="D3" s="9" t="s">
        <v>7</v>
      </c>
      <c r="E3" s="9" t="s">
        <v>8</v>
      </c>
      <c r="F3" s="9" t="s">
        <v>9</v>
      </c>
      <c r="G3" s="9" t="s">
        <v>10</v>
      </c>
      <c r="H3" s="144" t="s">
        <v>11</v>
      </c>
      <c r="I3" s="144" t="s">
        <v>12</v>
      </c>
      <c r="J3" s="144" t="s">
        <v>13</v>
      </c>
      <c r="K3" s="144" t="s">
        <v>14</v>
      </c>
      <c r="L3" s="144" t="s">
        <v>15</v>
      </c>
      <c r="M3" s="144" t="s">
        <v>16</v>
      </c>
      <c r="N3" s="144" t="s">
        <v>17</v>
      </c>
    </row>
    <row r="4" spans="1:16" ht="12.75" customHeight="1" x14ac:dyDescent="0.25">
      <c r="A4" s="8"/>
      <c r="B4" s="9"/>
      <c r="C4" s="9"/>
      <c r="D4" s="9"/>
      <c r="E4" s="9"/>
      <c r="F4" s="9"/>
      <c r="G4" s="9"/>
      <c r="H4" s="144"/>
      <c r="I4" s="144"/>
      <c r="J4" s="144"/>
      <c r="K4" s="144"/>
      <c r="L4" s="144"/>
      <c r="M4" s="144"/>
      <c r="N4" s="144"/>
    </row>
    <row r="5" spans="1:16" ht="25.5" customHeight="1" x14ac:dyDescent="0.25">
      <c r="A5" s="8"/>
      <c r="B5" s="9"/>
      <c r="C5" s="9"/>
      <c r="D5" s="9"/>
      <c r="E5" s="9"/>
      <c r="F5" s="9"/>
      <c r="G5" s="9"/>
      <c r="H5" s="144"/>
      <c r="I5" s="144"/>
      <c r="J5" s="144"/>
      <c r="K5" s="144"/>
      <c r="L5" s="144"/>
      <c r="M5" s="144"/>
      <c r="N5" s="144"/>
    </row>
    <row r="6" spans="1:16" ht="35.1" customHeight="1" x14ac:dyDescent="0.25">
      <c r="A6" s="9" t="s">
        <v>330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ht="35.1" customHeight="1" x14ac:dyDescent="0.25">
      <c r="A7" s="9" t="s">
        <v>331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6" ht="35.1" customHeight="1" x14ac:dyDescent="0.25">
      <c r="A8" s="11" t="s">
        <v>250</v>
      </c>
      <c r="B8" s="304" t="s">
        <v>332</v>
      </c>
      <c r="C8" s="13" t="s">
        <v>20</v>
      </c>
      <c r="D8" s="305">
        <v>546.29999999999995</v>
      </c>
      <c r="E8" s="31">
        <v>57.12</v>
      </c>
      <c r="F8" s="31">
        <v>71.400000000000006</v>
      </c>
      <c r="G8" s="31">
        <v>85.7</v>
      </c>
      <c r="H8" s="17">
        <v>85.7</v>
      </c>
      <c r="I8" s="23">
        <v>85.7</v>
      </c>
      <c r="J8" s="23">
        <v>85.7</v>
      </c>
      <c r="K8" s="23">
        <v>85.7</v>
      </c>
      <c r="L8" s="23">
        <v>85.7</v>
      </c>
      <c r="M8" s="23">
        <v>85.7</v>
      </c>
      <c r="N8" s="22">
        <f>M8</f>
        <v>85.7</v>
      </c>
    </row>
    <row r="9" spans="1:16" s="26" customFormat="1" ht="35.1" customHeight="1" x14ac:dyDescent="0.25">
      <c r="A9" s="211" t="s">
        <v>251</v>
      </c>
      <c r="B9" s="306" t="s">
        <v>52</v>
      </c>
      <c r="C9" s="20" t="s">
        <v>20</v>
      </c>
      <c r="D9" s="28">
        <v>80</v>
      </c>
      <c r="E9" s="17">
        <v>75</v>
      </c>
      <c r="F9" s="17">
        <v>75</v>
      </c>
      <c r="G9" s="17">
        <v>75</v>
      </c>
      <c r="H9" s="17">
        <v>85</v>
      </c>
      <c r="I9" s="17">
        <v>85</v>
      </c>
      <c r="J9" s="17">
        <v>85</v>
      </c>
      <c r="K9" s="17">
        <v>85</v>
      </c>
      <c r="L9" s="17">
        <v>85</v>
      </c>
      <c r="M9" s="17">
        <v>85</v>
      </c>
      <c r="N9" s="22">
        <f t="shared" ref="N9:N30" si="0">M9</f>
        <v>85</v>
      </c>
      <c r="O9" s="307"/>
      <c r="P9" s="307"/>
    </row>
    <row r="10" spans="1:16" ht="35.1" customHeight="1" x14ac:dyDescent="0.25">
      <c r="A10" s="11" t="s">
        <v>252</v>
      </c>
      <c r="B10" s="308" t="s">
        <v>54</v>
      </c>
      <c r="C10" s="13" t="s">
        <v>55</v>
      </c>
      <c r="D10" s="13" t="s">
        <v>50</v>
      </c>
      <c r="E10" s="31">
        <v>9</v>
      </c>
      <c r="F10" s="32">
        <v>8</v>
      </c>
      <c r="G10" s="32">
        <v>8</v>
      </c>
      <c r="H10" s="17">
        <v>8</v>
      </c>
      <c r="I10" s="23">
        <v>8</v>
      </c>
      <c r="J10" s="23">
        <v>8</v>
      </c>
      <c r="K10" s="23">
        <v>8</v>
      </c>
      <c r="L10" s="23">
        <v>8</v>
      </c>
      <c r="M10" s="23">
        <v>8</v>
      </c>
      <c r="N10" s="22">
        <f t="shared" si="0"/>
        <v>8</v>
      </c>
    </row>
    <row r="11" spans="1:16" ht="35.1" customHeight="1" x14ac:dyDescent="0.25">
      <c r="A11" s="11" t="s">
        <v>254</v>
      </c>
      <c r="B11" s="308" t="s">
        <v>57</v>
      </c>
      <c r="C11" s="13" t="s">
        <v>20</v>
      </c>
      <c r="D11" s="13"/>
      <c r="E11" s="31">
        <v>100</v>
      </c>
      <c r="F11" s="32">
        <v>100</v>
      </c>
      <c r="G11" s="32">
        <v>100</v>
      </c>
      <c r="H11" s="17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2">
        <f t="shared" si="0"/>
        <v>100</v>
      </c>
    </row>
    <row r="12" spans="1:16" ht="35.1" customHeight="1" x14ac:dyDescent="0.25">
      <c r="A12" s="11" t="s">
        <v>333</v>
      </c>
      <c r="B12" s="308" t="s">
        <v>59</v>
      </c>
      <c r="C12" s="13" t="s">
        <v>55</v>
      </c>
      <c r="D12" s="13" t="s">
        <v>50</v>
      </c>
      <c r="E12" s="31">
        <v>6</v>
      </c>
      <c r="F12" s="32">
        <v>7</v>
      </c>
      <c r="G12" s="32">
        <v>7</v>
      </c>
      <c r="H12" s="17">
        <v>7</v>
      </c>
      <c r="I12" s="17">
        <v>7</v>
      </c>
      <c r="J12" s="17">
        <v>7</v>
      </c>
      <c r="K12" s="17">
        <v>7</v>
      </c>
      <c r="L12" s="17">
        <v>7</v>
      </c>
      <c r="M12" s="17">
        <v>7</v>
      </c>
      <c r="N12" s="22">
        <f t="shared" si="0"/>
        <v>7</v>
      </c>
    </row>
    <row r="13" spans="1:16" ht="35.1" customHeight="1" x14ac:dyDescent="0.25">
      <c r="A13" s="207" t="s">
        <v>334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</row>
    <row r="14" spans="1:16" ht="31.5" x14ac:dyDescent="0.25">
      <c r="A14" s="11" t="s">
        <v>335</v>
      </c>
      <c r="B14" s="308" t="s">
        <v>62</v>
      </c>
      <c r="C14" s="14" t="s">
        <v>20</v>
      </c>
      <c r="D14" s="14">
        <v>1.96</v>
      </c>
      <c r="E14" s="31">
        <v>87.5</v>
      </c>
      <c r="F14" s="32">
        <v>100</v>
      </c>
      <c r="G14" s="32">
        <v>100</v>
      </c>
      <c r="H14" s="17">
        <v>100</v>
      </c>
      <c r="I14" s="23">
        <v>100</v>
      </c>
      <c r="J14" s="23">
        <v>100</v>
      </c>
      <c r="K14" s="23">
        <v>100</v>
      </c>
      <c r="L14" s="23">
        <v>100</v>
      </c>
      <c r="M14" s="309">
        <v>100</v>
      </c>
      <c r="N14" s="18">
        <f t="shared" si="0"/>
        <v>100</v>
      </c>
    </row>
    <row r="15" spans="1:16" ht="31.5" x14ac:dyDescent="0.25">
      <c r="A15" s="11" t="s">
        <v>336</v>
      </c>
      <c r="B15" s="308" t="s">
        <v>64</v>
      </c>
      <c r="C15" s="13" t="s">
        <v>20</v>
      </c>
      <c r="D15" s="22">
        <v>2.34</v>
      </c>
      <c r="E15" s="31">
        <v>85</v>
      </c>
      <c r="F15" s="32">
        <v>89</v>
      </c>
      <c r="G15" s="32">
        <v>90</v>
      </c>
      <c r="H15" s="17">
        <v>90</v>
      </c>
      <c r="I15" s="23">
        <v>95</v>
      </c>
      <c r="J15" s="23">
        <v>95</v>
      </c>
      <c r="K15" s="23">
        <v>95</v>
      </c>
      <c r="L15" s="23">
        <v>95</v>
      </c>
      <c r="M15" s="309">
        <v>95</v>
      </c>
      <c r="N15" s="18">
        <f t="shared" si="0"/>
        <v>95</v>
      </c>
    </row>
    <row r="16" spans="1:16" ht="63" x14ac:dyDescent="0.25">
      <c r="A16" s="11" t="s">
        <v>337</v>
      </c>
      <c r="B16" s="308" t="s">
        <v>66</v>
      </c>
      <c r="C16" s="13" t="s">
        <v>20</v>
      </c>
      <c r="D16" s="22"/>
      <c r="E16" s="31">
        <v>10.199999999999999</v>
      </c>
      <c r="F16" s="32">
        <v>10.1</v>
      </c>
      <c r="G16" s="32">
        <v>10.1</v>
      </c>
      <c r="H16" s="17">
        <v>9.1</v>
      </c>
      <c r="I16" s="23">
        <v>9.5</v>
      </c>
      <c r="J16" s="23">
        <v>10.1</v>
      </c>
      <c r="K16" s="23">
        <v>10.1</v>
      </c>
      <c r="L16" s="23">
        <v>10.1</v>
      </c>
      <c r="M16" s="309">
        <v>10.1</v>
      </c>
      <c r="N16" s="18">
        <f t="shared" si="0"/>
        <v>10.1</v>
      </c>
    </row>
    <row r="17" spans="1:20" ht="63" x14ac:dyDescent="0.25">
      <c r="A17" s="11" t="s">
        <v>338</v>
      </c>
      <c r="B17" s="308" t="s">
        <v>68</v>
      </c>
      <c r="C17" s="13" t="s">
        <v>20</v>
      </c>
      <c r="D17" s="22"/>
      <c r="E17" s="31">
        <v>1.1299999999999999</v>
      </c>
      <c r="F17" s="32">
        <v>1.57</v>
      </c>
      <c r="G17" s="32">
        <v>1.72</v>
      </c>
      <c r="H17" s="17">
        <v>1.86</v>
      </c>
      <c r="I17" s="17">
        <v>1.87</v>
      </c>
      <c r="J17" s="17">
        <v>1.9</v>
      </c>
      <c r="K17" s="17">
        <v>1.9</v>
      </c>
      <c r="L17" s="17">
        <v>1.9</v>
      </c>
      <c r="M17" s="310">
        <v>1.9</v>
      </c>
      <c r="N17" s="18">
        <f t="shared" si="0"/>
        <v>1.9</v>
      </c>
    </row>
    <row r="18" spans="1:20" ht="47.25" x14ac:dyDescent="0.25">
      <c r="A18" s="11" t="s">
        <v>339</v>
      </c>
      <c r="B18" s="308" t="s">
        <v>70</v>
      </c>
      <c r="C18" s="13" t="s">
        <v>20</v>
      </c>
      <c r="D18" s="22"/>
      <c r="E18" s="31">
        <v>39</v>
      </c>
      <c r="F18" s="31">
        <v>41</v>
      </c>
      <c r="G18" s="31">
        <v>41</v>
      </c>
      <c r="H18" s="17">
        <v>42.5</v>
      </c>
      <c r="I18" s="23">
        <v>48.8</v>
      </c>
      <c r="J18" s="23">
        <v>50.2</v>
      </c>
      <c r="K18" s="23">
        <v>50.2</v>
      </c>
      <c r="L18" s="23">
        <v>50.2</v>
      </c>
      <c r="M18" s="309">
        <v>50.2</v>
      </c>
      <c r="N18" s="18">
        <f t="shared" si="0"/>
        <v>50.2</v>
      </c>
    </row>
    <row r="19" spans="1:20" ht="63" x14ac:dyDescent="0.25">
      <c r="A19" s="11" t="s">
        <v>340</v>
      </c>
      <c r="B19" s="304" t="s">
        <v>72</v>
      </c>
      <c r="C19" s="14" t="s">
        <v>20</v>
      </c>
      <c r="D19" s="22"/>
      <c r="E19" s="31">
        <v>1.96</v>
      </c>
      <c r="F19" s="31">
        <v>0</v>
      </c>
      <c r="G19" s="31">
        <v>0</v>
      </c>
      <c r="H19" s="17">
        <v>0</v>
      </c>
      <c r="I19" s="23">
        <v>0</v>
      </c>
      <c r="J19" s="23">
        <v>0</v>
      </c>
      <c r="K19" s="23">
        <v>0</v>
      </c>
      <c r="L19" s="23">
        <v>0</v>
      </c>
      <c r="M19" s="309">
        <v>0</v>
      </c>
      <c r="N19" s="18">
        <f t="shared" si="0"/>
        <v>0</v>
      </c>
    </row>
    <row r="20" spans="1:20" ht="47.25" x14ac:dyDescent="0.25">
      <c r="A20" s="11" t="s">
        <v>341</v>
      </c>
      <c r="B20" s="304" t="s">
        <v>74</v>
      </c>
      <c r="C20" s="14" t="s">
        <v>20</v>
      </c>
      <c r="D20" s="22"/>
      <c r="E20" s="31">
        <v>93.4</v>
      </c>
      <c r="F20" s="17">
        <v>93.5</v>
      </c>
      <c r="G20" s="17">
        <v>93.5</v>
      </c>
      <c r="H20" s="17">
        <v>93.5</v>
      </c>
      <c r="I20" s="23">
        <v>95</v>
      </c>
      <c r="J20" s="23">
        <v>95</v>
      </c>
      <c r="K20" s="23">
        <v>95</v>
      </c>
      <c r="L20" s="23">
        <v>95</v>
      </c>
      <c r="M20" s="309">
        <v>95</v>
      </c>
      <c r="N20" s="18">
        <f t="shared" si="0"/>
        <v>95</v>
      </c>
    </row>
    <row r="21" spans="1:20" ht="47.25" x14ac:dyDescent="0.25">
      <c r="A21" s="11" t="s">
        <v>342</v>
      </c>
      <c r="B21" s="304" t="s">
        <v>76</v>
      </c>
      <c r="C21" s="14" t="s">
        <v>20</v>
      </c>
      <c r="D21" s="22"/>
      <c r="E21" s="31">
        <v>92</v>
      </c>
      <c r="F21" s="17">
        <v>92</v>
      </c>
      <c r="G21" s="23">
        <v>92</v>
      </c>
      <c r="H21" s="23">
        <v>92</v>
      </c>
      <c r="I21" s="23">
        <v>92</v>
      </c>
      <c r="J21" s="23">
        <v>92</v>
      </c>
      <c r="K21" s="23">
        <v>92</v>
      </c>
      <c r="L21" s="23">
        <v>92</v>
      </c>
      <c r="M21" s="309">
        <v>92</v>
      </c>
      <c r="N21" s="18">
        <f t="shared" si="0"/>
        <v>92</v>
      </c>
    </row>
    <row r="22" spans="1:20" ht="31.5" x14ac:dyDescent="0.25">
      <c r="A22" s="11" t="s">
        <v>343</v>
      </c>
      <c r="B22" s="308" t="s">
        <v>78</v>
      </c>
      <c r="C22" s="54" t="s">
        <v>20</v>
      </c>
      <c r="D22" s="22"/>
      <c r="E22" s="31">
        <v>96</v>
      </c>
      <c r="F22" s="32">
        <v>96.5</v>
      </c>
      <c r="G22" s="22">
        <v>97</v>
      </c>
      <c r="H22" s="23">
        <v>97</v>
      </c>
      <c r="I22" s="23">
        <v>98</v>
      </c>
      <c r="J22" s="23">
        <v>98</v>
      </c>
      <c r="K22" s="23">
        <v>98</v>
      </c>
      <c r="L22" s="23">
        <v>98</v>
      </c>
      <c r="M22" s="309">
        <v>98</v>
      </c>
      <c r="N22" s="18">
        <f t="shared" si="0"/>
        <v>98</v>
      </c>
    </row>
    <row r="23" spans="1:20" ht="94.5" x14ac:dyDescent="0.25">
      <c r="A23" s="11" t="s">
        <v>344</v>
      </c>
      <c r="B23" s="304" t="s">
        <v>80</v>
      </c>
      <c r="C23" s="54" t="s">
        <v>20</v>
      </c>
      <c r="D23" s="22"/>
      <c r="E23" s="31">
        <v>2.5</v>
      </c>
      <c r="F23" s="32">
        <v>3</v>
      </c>
      <c r="G23" s="22">
        <v>3.4</v>
      </c>
      <c r="H23" s="23">
        <v>2.4</v>
      </c>
      <c r="I23" s="23">
        <v>2.8</v>
      </c>
      <c r="J23" s="23">
        <v>2.8</v>
      </c>
      <c r="K23" s="23">
        <v>2.8</v>
      </c>
      <c r="L23" s="23">
        <v>2.8</v>
      </c>
      <c r="M23" s="309">
        <v>2.8</v>
      </c>
      <c r="N23" s="18">
        <f t="shared" si="0"/>
        <v>2.8</v>
      </c>
    </row>
    <row r="24" spans="1:20" ht="39" customHeight="1" x14ac:dyDescent="0.25">
      <c r="A24" s="311" t="s">
        <v>345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3"/>
    </row>
    <row r="25" spans="1:20" ht="31.5" x14ac:dyDescent="0.25">
      <c r="A25" s="36" t="s">
        <v>346</v>
      </c>
      <c r="B25" s="308" t="s">
        <v>83</v>
      </c>
      <c r="C25" s="13" t="s">
        <v>20</v>
      </c>
      <c r="D25" s="14"/>
      <c r="E25" s="31">
        <v>75</v>
      </c>
      <c r="F25" s="32">
        <v>75</v>
      </c>
      <c r="G25" s="31">
        <v>75</v>
      </c>
      <c r="H25" s="17">
        <v>93</v>
      </c>
      <c r="I25" s="17">
        <v>93.2</v>
      </c>
      <c r="J25" s="17">
        <v>93.4</v>
      </c>
      <c r="K25" s="17">
        <v>93.5</v>
      </c>
      <c r="L25" s="17">
        <v>93.5</v>
      </c>
      <c r="M25" s="310">
        <v>93.5</v>
      </c>
      <c r="N25" s="18">
        <f t="shared" si="0"/>
        <v>93.5</v>
      </c>
      <c r="O25" s="314"/>
      <c r="P25" s="314"/>
      <c r="Q25" s="314"/>
      <c r="R25" s="314"/>
      <c r="S25" s="314"/>
      <c r="T25" s="314"/>
    </row>
    <row r="26" spans="1:20" ht="31.5" x14ac:dyDescent="0.25">
      <c r="A26" s="36" t="s">
        <v>347</v>
      </c>
      <c r="B26" s="306" t="s">
        <v>348</v>
      </c>
      <c r="C26" s="13" t="s">
        <v>20</v>
      </c>
      <c r="D26" s="14"/>
      <c r="E26" s="31">
        <v>67</v>
      </c>
      <c r="F26" s="32">
        <v>70</v>
      </c>
      <c r="G26" s="31">
        <v>72</v>
      </c>
      <c r="H26" s="17">
        <v>95</v>
      </c>
      <c r="I26" s="17">
        <v>95</v>
      </c>
      <c r="J26" s="17">
        <v>96</v>
      </c>
      <c r="K26" s="17">
        <v>97</v>
      </c>
      <c r="L26" s="17">
        <v>97</v>
      </c>
      <c r="M26" s="310">
        <v>97</v>
      </c>
      <c r="N26" s="18">
        <f t="shared" si="0"/>
        <v>97</v>
      </c>
      <c r="O26" s="314"/>
      <c r="P26" s="314"/>
      <c r="Q26" s="314"/>
      <c r="R26" s="314"/>
      <c r="S26" s="314"/>
      <c r="T26" s="314"/>
    </row>
    <row r="27" spans="1:20" ht="47.25" x14ac:dyDescent="0.25">
      <c r="A27" s="36" t="s">
        <v>349</v>
      </c>
      <c r="B27" s="304" t="s">
        <v>350</v>
      </c>
      <c r="C27" s="13" t="s">
        <v>20</v>
      </c>
      <c r="D27" s="14">
        <v>78.400000000000006</v>
      </c>
      <c r="E27" s="31">
        <v>81</v>
      </c>
      <c r="F27" s="31">
        <v>83</v>
      </c>
      <c r="G27" s="31">
        <v>85</v>
      </c>
      <c r="H27" s="17">
        <v>85</v>
      </c>
      <c r="I27" s="17">
        <v>85</v>
      </c>
      <c r="J27" s="17">
        <v>85</v>
      </c>
      <c r="K27" s="17">
        <v>85</v>
      </c>
      <c r="L27" s="17">
        <v>85</v>
      </c>
      <c r="M27" s="310">
        <v>85</v>
      </c>
      <c r="N27" s="18">
        <f t="shared" si="0"/>
        <v>85</v>
      </c>
    </row>
    <row r="28" spans="1:20" ht="31.5" x14ac:dyDescent="0.25">
      <c r="A28" s="36" t="s">
        <v>351</v>
      </c>
      <c r="B28" s="304" t="s">
        <v>87</v>
      </c>
      <c r="C28" s="13" t="s">
        <v>20</v>
      </c>
      <c r="D28" s="14"/>
      <c r="E28" s="31">
        <v>15</v>
      </c>
      <c r="F28" s="32">
        <v>15</v>
      </c>
      <c r="G28" s="31">
        <v>16.5</v>
      </c>
      <c r="H28" s="17">
        <v>18.3</v>
      </c>
      <c r="I28" s="17">
        <v>19.100000000000001</v>
      </c>
      <c r="J28" s="17">
        <v>19.5</v>
      </c>
      <c r="K28" s="17">
        <v>19.5</v>
      </c>
      <c r="L28" s="17">
        <v>19.5</v>
      </c>
      <c r="M28" s="310">
        <v>19.5</v>
      </c>
      <c r="N28" s="18">
        <f t="shared" si="0"/>
        <v>19.5</v>
      </c>
    </row>
    <row r="29" spans="1:20" ht="34.5" customHeight="1" x14ac:dyDescent="0.25">
      <c r="A29" s="311" t="s">
        <v>352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3"/>
    </row>
    <row r="30" spans="1:20" ht="47.25" x14ac:dyDescent="0.25">
      <c r="A30" s="36" t="s">
        <v>353</v>
      </c>
      <c r="B30" s="304" t="s">
        <v>354</v>
      </c>
      <c r="C30" s="13" t="s">
        <v>20</v>
      </c>
      <c r="D30" s="14"/>
      <c r="E30" s="31"/>
      <c r="F30" s="31"/>
      <c r="G30" s="31"/>
      <c r="H30" s="31"/>
      <c r="I30" s="31"/>
      <c r="J30" s="31"/>
      <c r="K30" s="31">
        <v>25</v>
      </c>
      <c r="L30" s="31">
        <v>25</v>
      </c>
      <c r="M30" s="315">
        <v>25</v>
      </c>
      <c r="N30" s="18">
        <f t="shared" si="0"/>
        <v>25</v>
      </c>
    </row>
    <row r="31" spans="1:20" x14ac:dyDescent="0.25">
      <c r="A31" s="219"/>
      <c r="B31" s="220"/>
      <c r="C31" s="10"/>
      <c r="D31" s="221"/>
      <c r="E31" s="221"/>
      <c r="F31" s="221"/>
      <c r="G31" s="221"/>
      <c r="H31" s="222"/>
      <c r="I31" s="222"/>
      <c r="J31" s="222"/>
    </row>
    <row r="32" spans="1:20" x14ac:dyDescent="0.25">
      <c r="A32" s="219"/>
      <c r="B32" s="220"/>
      <c r="C32" s="10"/>
      <c r="D32" s="221"/>
      <c r="E32" s="221"/>
      <c r="F32" s="221"/>
      <c r="G32" s="221"/>
      <c r="H32" s="222"/>
      <c r="I32" s="222"/>
      <c r="J32" s="222"/>
    </row>
    <row r="33" spans="1:10" ht="18.75" x14ac:dyDescent="0.3">
      <c r="A33" s="316" t="s">
        <v>159</v>
      </c>
      <c r="B33" s="316"/>
      <c r="C33" s="316"/>
      <c r="D33" s="317"/>
      <c r="E33" s="317"/>
      <c r="F33" s="317"/>
      <c r="G33" s="318"/>
      <c r="H33" s="319" t="s">
        <v>160</v>
      </c>
      <c r="I33" s="319"/>
      <c r="J33" s="320"/>
    </row>
  </sheetData>
  <mergeCells count="21">
    <mergeCell ref="A6:N6"/>
    <mergeCell ref="A7:N7"/>
    <mergeCell ref="A13:N13"/>
    <mergeCell ref="A24:N24"/>
    <mergeCell ref="A29:N29"/>
    <mergeCell ref="I3:I5"/>
    <mergeCell ref="J3:J5"/>
    <mergeCell ref="K3:K5"/>
    <mergeCell ref="L3:L5"/>
    <mergeCell ref="M3:M5"/>
    <mergeCell ref="N3:N5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9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86"/>
  <sheetViews>
    <sheetView view="pageBreakPreview" zoomScale="98" zoomScaleNormal="98" zoomScaleSheetLayoutView="98" workbookViewId="0">
      <selection activeCell="R45" sqref="R45"/>
    </sheetView>
  </sheetViews>
  <sheetFormatPr defaultColWidth="9.28515625" defaultRowHeight="15.75" x14ac:dyDescent="0.25"/>
  <cols>
    <col min="1" max="1" width="6.5703125" style="405" customWidth="1"/>
    <col min="2" max="2" width="60.7109375" style="406" customWidth="1"/>
    <col min="3" max="3" width="21.7109375" style="303" customWidth="1"/>
    <col min="4" max="4" width="9.42578125" style="303" bestFit="1" customWidth="1"/>
    <col min="5" max="5" width="9.28515625" style="303"/>
    <col min="6" max="6" width="14.85546875" style="303" customWidth="1"/>
    <col min="7" max="7" width="12.42578125" style="303" customWidth="1"/>
    <col min="8" max="8" width="12.7109375" style="303" hidden="1" customWidth="1"/>
    <col min="9" max="12" width="12.7109375" style="26" hidden="1" customWidth="1"/>
    <col min="13" max="13" width="15.28515625" style="26" hidden="1" customWidth="1"/>
    <col min="14" max="14" width="12.7109375" style="26" customWidth="1"/>
    <col min="15" max="15" width="17.5703125" style="26" customWidth="1"/>
    <col min="16" max="17" width="12.7109375" style="26" customWidth="1"/>
    <col min="18" max="18" width="17.140625" style="26" customWidth="1"/>
    <col min="19" max="19" width="55.5703125" style="4" customWidth="1"/>
    <col min="20" max="20" width="12" style="4" customWidth="1"/>
    <col min="21" max="21" width="15.42578125" style="4" customWidth="1"/>
    <col min="22" max="22" width="21.28515625" style="4" customWidth="1"/>
    <col min="23" max="16384" width="9.28515625" style="4"/>
  </cols>
  <sheetData>
    <row r="1" spans="1:22" s="92" customFormat="1" ht="39" customHeight="1" x14ac:dyDescent="0.25">
      <c r="A1" s="321"/>
      <c r="B1" s="322"/>
      <c r="C1" s="229"/>
      <c r="D1" s="229"/>
      <c r="E1" s="229"/>
      <c r="F1" s="229"/>
      <c r="G1" s="229"/>
      <c r="H1" s="229"/>
      <c r="I1" s="230"/>
      <c r="J1" s="230"/>
      <c r="K1" s="59"/>
      <c r="L1" s="59"/>
      <c r="M1" s="59"/>
      <c r="N1" s="59"/>
      <c r="O1" s="5" t="s">
        <v>355</v>
      </c>
      <c r="P1" s="5"/>
      <c r="Q1" s="5"/>
      <c r="R1" s="5"/>
      <c r="S1" s="5"/>
      <c r="T1" s="323"/>
      <c r="U1" s="323"/>
      <c r="V1" s="323"/>
    </row>
    <row r="2" spans="1:22" s="92" customFormat="1" ht="23.25" customHeight="1" x14ac:dyDescent="0.25">
      <c r="A2" s="324" t="s">
        <v>258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5"/>
    </row>
    <row r="3" spans="1:22" s="92" customFormat="1" ht="24.75" customHeight="1" x14ac:dyDescent="0.25">
      <c r="A3" s="144" t="s">
        <v>2</v>
      </c>
      <c r="B3" s="326" t="s">
        <v>259</v>
      </c>
      <c r="C3" s="144" t="s">
        <v>177</v>
      </c>
      <c r="D3" s="144" t="s">
        <v>175</v>
      </c>
      <c r="E3" s="144"/>
      <c r="F3" s="144"/>
      <c r="G3" s="144"/>
      <c r="H3" s="144" t="s">
        <v>176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9" t="s">
        <v>260</v>
      </c>
    </row>
    <row r="4" spans="1:22" s="92" customFormat="1" ht="42" customHeight="1" x14ac:dyDescent="0.25">
      <c r="A4" s="144"/>
      <c r="B4" s="326"/>
      <c r="C4" s="144"/>
      <c r="D4" s="21" t="s">
        <v>177</v>
      </c>
      <c r="E4" s="21" t="s">
        <v>178</v>
      </c>
      <c r="F4" s="21" t="s">
        <v>179</v>
      </c>
      <c r="G4" s="21" t="s">
        <v>180</v>
      </c>
      <c r="H4" s="21">
        <v>2014</v>
      </c>
      <c r="I4" s="21">
        <v>2015</v>
      </c>
      <c r="J4" s="21">
        <v>2016</v>
      </c>
      <c r="K4" s="21">
        <v>2017</v>
      </c>
      <c r="L4" s="21">
        <v>2018</v>
      </c>
      <c r="M4" s="21">
        <v>2019</v>
      </c>
      <c r="N4" s="21">
        <v>2020</v>
      </c>
      <c r="O4" s="21">
        <v>2021</v>
      </c>
      <c r="P4" s="21">
        <v>2022</v>
      </c>
      <c r="Q4" s="21">
        <v>2023</v>
      </c>
      <c r="R4" s="21" t="s">
        <v>181</v>
      </c>
      <c r="S4" s="9"/>
    </row>
    <row r="5" spans="1:22" ht="26.25" customHeight="1" x14ac:dyDescent="0.25">
      <c r="A5" s="122" t="s">
        <v>356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</row>
    <row r="6" spans="1:22" ht="24" customHeight="1" x14ac:dyDescent="0.25">
      <c r="A6" s="233" t="s">
        <v>331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</row>
    <row r="7" spans="1:22" s="224" customFormat="1" ht="79.5" customHeight="1" x14ac:dyDescent="0.25">
      <c r="A7" s="211" t="s">
        <v>48</v>
      </c>
      <c r="B7" s="177" t="s">
        <v>357</v>
      </c>
      <c r="C7" s="21" t="s">
        <v>187</v>
      </c>
      <c r="D7" s="327">
        <v>975</v>
      </c>
      <c r="E7" s="327" t="s">
        <v>358</v>
      </c>
      <c r="F7" s="327" t="s">
        <v>359</v>
      </c>
      <c r="G7" s="327" t="s">
        <v>360</v>
      </c>
      <c r="H7" s="328">
        <v>1103.3</v>
      </c>
      <c r="I7" s="328">
        <v>0</v>
      </c>
      <c r="J7" s="328">
        <v>0</v>
      </c>
      <c r="K7" s="328">
        <f>479.9+800+106.1</f>
        <v>1386</v>
      </c>
      <c r="L7" s="328"/>
      <c r="M7" s="328"/>
      <c r="N7" s="328"/>
      <c r="O7" s="328"/>
      <c r="P7" s="328">
        <f>O7</f>
        <v>0</v>
      </c>
      <c r="Q7" s="328">
        <f>P7</f>
        <v>0</v>
      </c>
      <c r="R7" s="328">
        <f>SUM(H7:Q7)</f>
        <v>2489.3000000000002</v>
      </c>
      <c r="S7" s="329" t="s">
        <v>361</v>
      </c>
      <c r="T7" s="330"/>
    </row>
    <row r="8" spans="1:22" ht="35.1" customHeight="1" x14ac:dyDescent="0.25">
      <c r="A8" s="331" t="s">
        <v>51</v>
      </c>
      <c r="B8" s="332" t="s">
        <v>362</v>
      </c>
      <c r="C8" s="143" t="s">
        <v>187</v>
      </c>
      <c r="D8" s="333" t="s">
        <v>188</v>
      </c>
      <c r="E8" s="333" t="s">
        <v>358</v>
      </c>
      <c r="F8" s="333" t="s">
        <v>363</v>
      </c>
      <c r="G8" s="333" t="s">
        <v>267</v>
      </c>
      <c r="H8" s="328">
        <v>2319.5</v>
      </c>
      <c r="I8" s="328">
        <v>6037.2</v>
      </c>
      <c r="J8" s="328">
        <v>3775.2</v>
      </c>
      <c r="K8" s="328">
        <v>6081.4</v>
      </c>
      <c r="L8" s="328">
        <v>2601.9</v>
      </c>
      <c r="M8" s="328">
        <v>2151.5</v>
      </c>
      <c r="N8" s="328">
        <v>296</v>
      </c>
      <c r="O8" s="334">
        <v>4090</v>
      </c>
      <c r="P8" s="328">
        <v>0</v>
      </c>
      <c r="Q8" s="328">
        <f t="shared" ref="Q8:Q52" si="0">P8</f>
        <v>0</v>
      </c>
      <c r="R8" s="328">
        <f t="shared" ref="R8:R53" si="1">SUM(H8:Q8)</f>
        <v>27352.700000000004</v>
      </c>
      <c r="S8" s="335" t="s">
        <v>364</v>
      </c>
    </row>
    <row r="9" spans="1:22" ht="35.1" customHeight="1" x14ac:dyDescent="0.25">
      <c r="A9" s="331"/>
      <c r="B9" s="336"/>
      <c r="C9" s="145"/>
      <c r="D9" s="333" t="s">
        <v>188</v>
      </c>
      <c r="E9" s="333" t="s">
        <v>358</v>
      </c>
      <c r="F9" s="333" t="s">
        <v>363</v>
      </c>
      <c r="G9" s="333" t="s">
        <v>269</v>
      </c>
      <c r="H9" s="328">
        <v>389.7</v>
      </c>
      <c r="I9" s="328">
        <v>590.1</v>
      </c>
      <c r="J9" s="328">
        <v>889.8</v>
      </c>
      <c r="K9" s="328">
        <f>407.7+80.2+100+235.4</f>
        <v>823.3</v>
      </c>
      <c r="L9" s="328">
        <v>1366.1</v>
      </c>
      <c r="M9" s="328">
        <v>687.2</v>
      </c>
      <c r="N9" s="328"/>
      <c r="O9" s="334">
        <f>1913.7-1.7</f>
        <v>1912</v>
      </c>
      <c r="P9" s="328">
        <v>0</v>
      </c>
      <c r="Q9" s="328">
        <v>0</v>
      </c>
      <c r="R9" s="328">
        <f t="shared" si="1"/>
        <v>6658.2</v>
      </c>
      <c r="S9" s="337"/>
    </row>
    <row r="10" spans="1:22" ht="35.1" customHeight="1" x14ac:dyDescent="0.25">
      <c r="A10" s="331"/>
      <c r="B10" s="336"/>
      <c r="C10" s="145"/>
      <c r="D10" s="333" t="s">
        <v>188</v>
      </c>
      <c r="E10" s="333" t="s">
        <v>358</v>
      </c>
      <c r="F10" s="333" t="s">
        <v>363</v>
      </c>
      <c r="G10" s="333" t="s">
        <v>302</v>
      </c>
      <c r="H10" s="328"/>
      <c r="I10" s="328"/>
      <c r="J10" s="328"/>
      <c r="K10" s="328"/>
      <c r="L10" s="328">
        <v>612.20000000000005</v>
      </c>
      <c r="M10" s="328"/>
      <c r="N10" s="328"/>
      <c r="O10" s="328"/>
      <c r="P10" s="328">
        <f>O10</f>
        <v>0</v>
      </c>
      <c r="Q10" s="328">
        <f t="shared" si="0"/>
        <v>0</v>
      </c>
      <c r="R10" s="328">
        <f t="shared" si="1"/>
        <v>612.20000000000005</v>
      </c>
      <c r="S10" s="337"/>
    </row>
    <row r="11" spans="1:22" ht="35.1" customHeight="1" x14ac:dyDescent="0.25">
      <c r="A11" s="331"/>
      <c r="B11" s="336"/>
      <c r="C11" s="145"/>
      <c r="D11" s="333" t="s">
        <v>188</v>
      </c>
      <c r="E11" s="333" t="s">
        <v>358</v>
      </c>
      <c r="F11" s="333" t="s">
        <v>365</v>
      </c>
      <c r="G11" s="333" t="s">
        <v>267</v>
      </c>
      <c r="H11" s="328">
        <v>0</v>
      </c>
      <c r="I11" s="328">
        <v>0</v>
      </c>
      <c r="J11" s="328">
        <v>531.20000000000005</v>
      </c>
      <c r="K11" s="328">
        <v>959.7</v>
      </c>
      <c r="L11" s="328">
        <v>486.3</v>
      </c>
      <c r="M11" s="328">
        <v>828.9</v>
      </c>
      <c r="N11" s="328">
        <v>598.5</v>
      </c>
      <c r="O11" s="328">
        <v>1102.5</v>
      </c>
      <c r="P11" s="328">
        <v>884</v>
      </c>
      <c r="Q11" s="328">
        <v>1105</v>
      </c>
      <c r="R11" s="328">
        <f t="shared" si="1"/>
        <v>6496.1</v>
      </c>
      <c r="S11" s="337"/>
    </row>
    <row r="12" spans="1:22" ht="35.1" customHeight="1" x14ac:dyDescent="0.25">
      <c r="A12" s="331"/>
      <c r="B12" s="336"/>
      <c r="C12" s="145"/>
      <c r="D12" s="333" t="s">
        <v>188</v>
      </c>
      <c r="E12" s="333" t="s">
        <v>358</v>
      </c>
      <c r="F12" s="333" t="s">
        <v>365</v>
      </c>
      <c r="G12" s="333" t="s">
        <v>269</v>
      </c>
      <c r="H12" s="328">
        <v>0</v>
      </c>
      <c r="I12" s="328">
        <v>0</v>
      </c>
      <c r="J12" s="328">
        <v>278.7</v>
      </c>
      <c r="K12" s="328">
        <v>0</v>
      </c>
      <c r="L12" s="328">
        <v>423</v>
      </c>
      <c r="M12" s="328">
        <v>94</v>
      </c>
      <c r="N12" s="328">
        <v>511.5</v>
      </c>
      <c r="O12" s="328">
        <v>157.5</v>
      </c>
      <c r="P12" s="328">
        <v>376</v>
      </c>
      <c r="Q12" s="328">
        <v>155</v>
      </c>
      <c r="R12" s="328">
        <f t="shared" si="1"/>
        <v>1995.7</v>
      </c>
      <c r="S12" s="337"/>
    </row>
    <row r="13" spans="1:22" ht="35.1" customHeight="1" x14ac:dyDescent="0.25">
      <c r="A13" s="331"/>
      <c r="B13" s="336"/>
      <c r="C13" s="145"/>
      <c r="D13" s="333" t="s">
        <v>188</v>
      </c>
      <c r="E13" s="333" t="s">
        <v>358</v>
      </c>
      <c r="F13" s="333" t="s">
        <v>366</v>
      </c>
      <c r="G13" s="333" t="s">
        <v>267</v>
      </c>
      <c r="H13" s="328">
        <v>0</v>
      </c>
      <c r="I13" s="328">
        <v>0</v>
      </c>
      <c r="J13" s="328">
        <v>106.2</v>
      </c>
      <c r="K13" s="328">
        <v>48</v>
      </c>
      <c r="L13" s="328"/>
      <c r="M13" s="328"/>
      <c r="N13" s="328">
        <v>55.5</v>
      </c>
      <c r="O13" s="328">
        <v>60</v>
      </c>
      <c r="P13" s="328">
        <v>0</v>
      </c>
      <c r="Q13" s="328">
        <f t="shared" si="0"/>
        <v>0</v>
      </c>
      <c r="R13" s="328">
        <f t="shared" si="1"/>
        <v>269.7</v>
      </c>
      <c r="S13" s="337"/>
    </row>
    <row r="14" spans="1:22" ht="35.1" customHeight="1" x14ac:dyDescent="0.25">
      <c r="A14" s="331"/>
      <c r="B14" s="336"/>
      <c r="C14" s="145"/>
      <c r="D14" s="333" t="s">
        <v>188</v>
      </c>
      <c r="E14" s="333" t="s">
        <v>358</v>
      </c>
      <c r="F14" s="333" t="s">
        <v>366</v>
      </c>
      <c r="G14" s="333" t="s">
        <v>269</v>
      </c>
      <c r="H14" s="328">
        <v>0</v>
      </c>
      <c r="I14" s="328">
        <v>0</v>
      </c>
      <c r="J14" s="328">
        <v>55.8</v>
      </c>
      <c r="K14" s="328">
        <v>0</v>
      </c>
      <c r="L14" s="328">
        <v>46</v>
      </c>
      <c r="M14" s="328">
        <v>47.3</v>
      </c>
      <c r="N14" s="328">
        <v>3</v>
      </c>
      <c r="O14" s="328">
        <v>22.8</v>
      </c>
      <c r="P14" s="328">
        <v>65</v>
      </c>
      <c r="Q14" s="328">
        <v>66</v>
      </c>
      <c r="R14" s="328">
        <f t="shared" si="1"/>
        <v>305.89999999999998</v>
      </c>
      <c r="S14" s="337"/>
    </row>
    <row r="15" spans="1:22" ht="35.1" customHeight="1" x14ac:dyDescent="0.25">
      <c r="A15" s="211"/>
      <c r="B15" s="336"/>
      <c r="C15" s="145"/>
      <c r="D15" s="333" t="s">
        <v>188</v>
      </c>
      <c r="E15" s="333" t="s">
        <v>358</v>
      </c>
      <c r="F15" s="333" t="s">
        <v>367</v>
      </c>
      <c r="G15" s="333" t="s">
        <v>267</v>
      </c>
      <c r="H15" s="328"/>
      <c r="I15" s="328"/>
      <c r="J15" s="328"/>
      <c r="K15" s="328"/>
      <c r="L15" s="328"/>
      <c r="M15" s="328">
        <f>2957.5-160</f>
        <v>2797.5</v>
      </c>
      <c r="N15" s="328"/>
      <c r="O15" s="328"/>
      <c r="P15" s="328">
        <f>O15</f>
        <v>0</v>
      </c>
      <c r="Q15" s="328">
        <f t="shared" si="0"/>
        <v>0</v>
      </c>
      <c r="R15" s="328">
        <f t="shared" si="1"/>
        <v>2797.5</v>
      </c>
      <c r="S15" s="337"/>
    </row>
    <row r="16" spans="1:22" ht="35.1" customHeight="1" x14ac:dyDescent="0.25">
      <c r="A16" s="211"/>
      <c r="B16" s="336"/>
      <c r="C16" s="145"/>
      <c r="D16" s="333" t="s">
        <v>188</v>
      </c>
      <c r="E16" s="333" t="s">
        <v>358</v>
      </c>
      <c r="F16" s="333" t="s">
        <v>367</v>
      </c>
      <c r="G16" s="333" t="s">
        <v>267</v>
      </c>
      <c r="H16" s="328"/>
      <c r="I16" s="328"/>
      <c r="J16" s="328"/>
      <c r="K16" s="328"/>
      <c r="L16" s="328"/>
      <c r="M16" s="328">
        <v>160</v>
      </c>
      <c r="N16" s="328"/>
      <c r="O16" s="328"/>
      <c r="P16" s="328">
        <f>O16</f>
        <v>0</v>
      </c>
      <c r="Q16" s="328">
        <f t="shared" si="0"/>
        <v>0</v>
      </c>
      <c r="R16" s="328">
        <f t="shared" si="1"/>
        <v>160</v>
      </c>
      <c r="S16" s="337"/>
    </row>
    <row r="17" spans="1:19" ht="35.1" customHeight="1" x14ac:dyDescent="0.25">
      <c r="A17" s="211"/>
      <c r="B17" s="336"/>
      <c r="C17" s="145"/>
      <c r="D17" s="333" t="s">
        <v>188</v>
      </c>
      <c r="E17" s="333" t="s">
        <v>358</v>
      </c>
      <c r="F17" s="333" t="s">
        <v>368</v>
      </c>
      <c r="G17" s="333" t="s">
        <v>369</v>
      </c>
      <c r="H17" s="328"/>
      <c r="I17" s="328"/>
      <c r="J17" s="328"/>
      <c r="K17" s="328"/>
      <c r="L17" s="328">
        <v>4549.5</v>
      </c>
      <c r="M17" s="328">
        <v>3564.6</v>
      </c>
      <c r="N17" s="328"/>
      <c r="O17" s="328"/>
      <c r="P17" s="328">
        <f>O17</f>
        <v>0</v>
      </c>
      <c r="Q17" s="328">
        <f t="shared" si="0"/>
        <v>0</v>
      </c>
      <c r="R17" s="328">
        <f t="shared" si="1"/>
        <v>8114.1</v>
      </c>
      <c r="S17" s="337"/>
    </row>
    <row r="18" spans="1:19" ht="35.1" customHeight="1" x14ac:dyDescent="0.25">
      <c r="A18" s="211"/>
      <c r="B18" s="336"/>
      <c r="C18" s="145"/>
      <c r="D18" s="333" t="s">
        <v>188</v>
      </c>
      <c r="E18" s="333" t="s">
        <v>358</v>
      </c>
      <c r="F18" s="333" t="s">
        <v>370</v>
      </c>
      <c r="G18" s="333" t="s">
        <v>369</v>
      </c>
      <c r="H18" s="328"/>
      <c r="I18" s="328"/>
      <c r="J18" s="328"/>
      <c r="K18" s="328"/>
      <c r="L18" s="328">
        <v>505.5</v>
      </c>
      <c r="M18" s="328">
        <v>39.799999999999997</v>
      </c>
      <c r="N18" s="328"/>
      <c r="O18" s="328"/>
      <c r="P18" s="328">
        <f>O18</f>
        <v>0</v>
      </c>
      <c r="Q18" s="328">
        <f t="shared" si="0"/>
        <v>0</v>
      </c>
      <c r="R18" s="328">
        <f t="shared" si="1"/>
        <v>545.29999999999995</v>
      </c>
      <c r="S18" s="337"/>
    </row>
    <row r="19" spans="1:19" ht="35.1" customHeight="1" x14ac:dyDescent="0.25">
      <c r="A19" s="211"/>
      <c r="B19" s="338"/>
      <c r="C19" s="206"/>
      <c r="D19" s="333"/>
      <c r="E19" s="333" t="s">
        <v>358</v>
      </c>
      <c r="F19" s="333" t="s">
        <v>371</v>
      </c>
      <c r="G19" s="339">
        <v>240</v>
      </c>
      <c r="H19" s="328"/>
      <c r="I19" s="328"/>
      <c r="J19" s="328"/>
      <c r="K19" s="328"/>
      <c r="L19" s="328"/>
      <c r="M19" s="328">
        <v>7000</v>
      </c>
      <c r="N19" s="328"/>
      <c r="O19" s="328"/>
      <c r="P19" s="328">
        <f>O19</f>
        <v>0</v>
      </c>
      <c r="Q19" s="328">
        <f t="shared" si="0"/>
        <v>0</v>
      </c>
      <c r="R19" s="328">
        <f t="shared" si="1"/>
        <v>7000</v>
      </c>
      <c r="S19" s="340"/>
    </row>
    <row r="20" spans="1:19" ht="35.1" customHeight="1" x14ac:dyDescent="0.25">
      <c r="A20" s="331" t="s">
        <v>53</v>
      </c>
      <c r="B20" s="332" t="s">
        <v>372</v>
      </c>
      <c r="C20" s="144" t="s">
        <v>187</v>
      </c>
      <c r="D20" s="333" t="s">
        <v>188</v>
      </c>
      <c r="E20" s="333" t="s">
        <v>373</v>
      </c>
      <c r="F20" s="333" t="s">
        <v>374</v>
      </c>
      <c r="G20" s="333" t="s">
        <v>267</v>
      </c>
      <c r="H20" s="328">
        <v>5267.9</v>
      </c>
      <c r="I20" s="328">
        <v>4744.6000000000004</v>
      </c>
      <c r="J20" s="328">
        <v>5833</v>
      </c>
      <c r="K20" s="328">
        <v>6378.5</v>
      </c>
      <c r="L20" s="328">
        <v>8215.2000000000007</v>
      </c>
      <c r="M20" s="328">
        <v>7991.1</v>
      </c>
      <c r="N20" s="328">
        <v>7717.2</v>
      </c>
      <c r="O20" s="328">
        <v>8217.4</v>
      </c>
      <c r="P20" s="328">
        <v>7209.4</v>
      </c>
      <c r="Q20" s="328">
        <v>8778.7000000000007</v>
      </c>
      <c r="R20" s="328">
        <f t="shared" si="1"/>
        <v>70353</v>
      </c>
      <c r="S20" s="122" t="s">
        <v>375</v>
      </c>
    </row>
    <row r="21" spans="1:19" ht="35.1" customHeight="1" x14ac:dyDescent="0.25">
      <c r="A21" s="331"/>
      <c r="B21" s="336"/>
      <c r="C21" s="144"/>
      <c r="D21" s="333" t="s">
        <v>188</v>
      </c>
      <c r="E21" s="333" t="s">
        <v>373</v>
      </c>
      <c r="F21" s="333" t="s">
        <v>374</v>
      </c>
      <c r="G21" s="333" t="s">
        <v>269</v>
      </c>
      <c r="H21" s="328">
        <v>1080.8</v>
      </c>
      <c r="I21" s="328">
        <v>1020.8</v>
      </c>
      <c r="J21" s="328">
        <v>1237.7</v>
      </c>
      <c r="K21" s="328">
        <v>1529.5</v>
      </c>
      <c r="L21" s="328">
        <v>1757.5</v>
      </c>
      <c r="M21" s="328">
        <v>1484.6</v>
      </c>
      <c r="N21" s="328">
        <v>1296.2</v>
      </c>
      <c r="O21" s="328">
        <v>1205.4000000000001</v>
      </c>
      <c r="P21" s="328">
        <v>1057.4000000000001</v>
      </c>
      <c r="Q21" s="328">
        <v>1287.9000000000001</v>
      </c>
      <c r="R21" s="328">
        <f t="shared" si="1"/>
        <v>12957.8</v>
      </c>
      <c r="S21" s="122"/>
    </row>
    <row r="22" spans="1:19" ht="35.1" customHeight="1" x14ac:dyDescent="0.25">
      <c r="A22" s="331"/>
      <c r="B22" s="341"/>
      <c r="C22" s="144"/>
      <c r="D22" s="333" t="s">
        <v>188</v>
      </c>
      <c r="E22" s="333" t="s">
        <v>373</v>
      </c>
      <c r="F22" s="333" t="s">
        <v>374</v>
      </c>
      <c r="G22" s="333" t="s">
        <v>273</v>
      </c>
      <c r="H22" s="328"/>
      <c r="I22" s="328"/>
      <c r="J22" s="328"/>
      <c r="K22" s="328"/>
      <c r="L22" s="328"/>
      <c r="M22" s="328"/>
      <c r="N22" s="328"/>
      <c r="O22" s="328">
        <v>3.7</v>
      </c>
      <c r="P22" s="328">
        <v>3.7</v>
      </c>
      <c r="Q22" s="328">
        <v>3.7</v>
      </c>
      <c r="R22" s="328">
        <f t="shared" si="1"/>
        <v>11.100000000000001</v>
      </c>
      <c r="S22" s="122"/>
    </row>
    <row r="23" spans="1:19" s="342" customFormat="1" ht="35.1" customHeight="1" x14ac:dyDescent="0.25">
      <c r="A23" s="331"/>
      <c r="B23" s="336" t="s">
        <v>376</v>
      </c>
      <c r="C23" s="144"/>
      <c r="D23" s="177">
        <v>975</v>
      </c>
      <c r="E23" s="333" t="s">
        <v>373</v>
      </c>
      <c r="F23" s="333" t="s">
        <v>377</v>
      </c>
      <c r="G23" s="339">
        <v>612</v>
      </c>
      <c r="H23" s="328"/>
      <c r="I23" s="328"/>
      <c r="J23" s="328"/>
      <c r="K23" s="328"/>
      <c r="L23" s="328"/>
      <c r="M23" s="328"/>
      <c r="N23" s="328">
        <v>4369.5</v>
      </c>
      <c r="O23" s="328">
        <f>12353.5-O26</f>
        <v>12320.8</v>
      </c>
      <c r="P23" s="328">
        <f>12351-32.7</f>
        <v>12318.3</v>
      </c>
      <c r="Q23" s="328">
        <f>11569.2-30.7</f>
        <v>11538.5</v>
      </c>
      <c r="R23" s="328">
        <f t="shared" si="1"/>
        <v>40547.1</v>
      </c>
      <c r="S23" s="122"/>
    </row>
    <row r="24" spans="1:19" s="342" customFormat="1" ht="35.1" customHeight="1" x14ac:dyDescent="0.25">
      <c r="A24" s="331"/>
      <c r="B24" s="336"/>
      <c r="C24" s="144"/>
      <c r="D24" s="177">
        <v>975</v>
      </c>
      <c r="E24" s="333" t="s">
        <v>373</v>
      </c>
      <c r="F24" s="333" t="s">
        <v>377</v>
      </c>
      <c r="G24" s="339">
        <v>622</v>
      </c>
      <c r="H24" s="328"/>
      <c r="I24" s="328"/>
      <c r="J24" s="328"/>
      <c r="K24" s="328"/>
      <c r="L24" s="328"/>
      <c r="M24" s="328"/>
      <c r="N24" s="328">
        <v>1530.9</v>
      </c>
      <c r="O24" s="328">
        <v>3987</v>
      </c>
      <c r="P24" s="328">
        <v>3986.2</v>
      </c>
      <c r="Q24" s="328">
        <v>3733.8</v>
      </c>
      <c r="R24" s="328">
        <f t="shared" si="1"/>
        <v>13237.899999999998</v>
      </c>
      <c r="S24" s="122"/>
    </row>
    <row r="25" spans="1:19" s="342" customFormat="1" ht="47.45" customHeight="1" x14ac:dyDescent="0.25">
      <c r="A25" s="331"/>
      <c r="B25" s="336"/>
      <c r="C25" s="144"/>
      <c r="D25" s="177">
        <v>975</v>
      </c>
      <c r="E25" s="333" t="s">
        <v>373</v>
      </c>
      <c r="F25" s="333" t="s">
        <v>377</v>
      </c>
      <c r="G25" s="339">
        <v>870</v>
      </c>
      <c r="H25" s="328"/>
      <c r="I25" s="328"/>
      <c r="J25" s="328"/>
      <c r="K25" s="328"/>
      <c r="L25" s="328"/>
      <c r="M25" s="328"/>
      <c r="N25" s="328">
        <f>425.1-N26</f>
        <v>412.5</v>
      </c>
      <c r="O25" s="328">
        <v>16.2</v>
      </c>
      <c r="P25" s="328">
        <v>16.2</v>
      </c>
      <c r="Q25" s="328">
        <v>15.2</v>
      </c>
      <c r="R25" s="328">
        <f t="shared" si="1"/>
        <v>460.09999999999997</v>
      </c>
      <c r="S25" s="122"/>
    </row>
    <row r="26" spans="1:19" s="342" customFormat="1" ht="47.45" customHeight="1" x14ac:dyDescent="0.25">
      <c r="A26" s="331"/>
      <c r="B26" s="341"/>
      <c r="C26" s="144"/>
      <c r="D26" s="177">
        <v>975</v>
      </c>
      <c r="E26" s="333" t="s">
        <v>373</v>
      </c>
      <c r="F26" s="333" t="s">
        <v>378</v>
      </c>
      <c r="G26" s="339"/>
      <c r="H26" s="328"/>
      <c r="I26" s="328"/>
      <c r="J26" s="328"/>
      <c r="K26" s="328"/>
      <c r="L26" s="328"/>
      <c r="M26" s="328"/>
      <c r="N26" s="328">
        <v>12.6</v>
      </c>
      <c r="O26" s="328">
        <v>32.700000000000003</v>
      </c>
      <c r="P26" s="328">
        <v>32.700000000000003</v>
      </c>
      <c r="Q26" s="328">
        <v>30.7</v>
      </c>
      <c r="R26" s="328">
        <f t="shared" si="1"/>
        <v>108.7</v>
      </c>
      <c r="S26" s="122"/>
    </row>
    <row r="27" spans="1:19" ht="62.45" customHeight="1" x14ac:dyDescent="0.25">
      <c r="A27" s="331"/>
      <c r="B27" s="341" t="s">
        <v>379</v>
      </c>
      <c r="C27" s="144"/>
      <c r="D27" s="177">
        <v>975</v>
      </c>
      <c r="E27" s="333" t="s">
        <v>373</v>
      </c>
      <c r="F27" s="333" t="s">
        <v>380</v>
      </c>
      <c r="G27" s="339">
        <v>870</v>
      </c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>
        <f t="shared" si="1"/>
        <v>0</v>
      </c>
      <c r="S27" s="122"/>
    </row>
    <row r="28" spans="1:19" ht="35.1" customHeight="1" x14ac:dyDescent="0.25">
      <c r="A28" s="331"/>
      <c r="B28" s="332" t="s">
        <v>372</v>
      </c>
      <c r="C28" s="144"/>
      <c r="D28" s="333" t="s">
        <v>188</v>
      </c>
      <c r="E28" s="333" t="s">
        <v>373</v>
      </c>
      <c r="F28" s="333" t="s">
        <v>381</v>
      </c>
      <c r="G28" s="333" t="s">
        <v>267</v>
      </c>
      <c r="H28" s="328">
        <v>0</v>
      </c>
      <c r="I28" s="328">
        <v>0</v>
      </c>
      <c r="J28" s="328">
        <v>187.8</v>
      </c>
      <c r="K28" s="328">
        <v>0</v>
      </c>
      <c r="L28" s="328">
        <v>0</v>
      </c>
      <c r="M28" s="328">
        <v>0</v>
      </c>
      <c r="N28" s="328">
        <v>0</v>
      </c>
      <c r="O28" s="328">
        <v>0</v>
      </c>
      <c r="P28" s="328">
        <f>O28</f>
        <v>0</v>
      </c>
      <c r="Q28" s="328">
        <f t="shared" si="0"/>
        <v>0</v>
      </c>
      <c r="R28" s="328">
        <f t="shared" si="1"/>
        <v>187.8</v>
      </c>
      <c r="S28" s="122"/>
    </row>
    <row r="29" spans="1:19" ht="35.1" customHeight="1" x14ac:dyDescent="0.25">
      <c r="A29" s="331"/>
      <c r="B29" s="336"/>
      <c r="C29" s="144"/>
      <c r="D29" s="333" t="s">
        <v>188</v>
      </c>
      <c r="E29" s="333" t="s">
        <v>373</v>
      </c>
      <c r="F29" s="333" t="s">
        <v>381</v>
      </c>
      <c r="G29" s="333" t="s">
        <v>269</v>
      </c>
      <c r="H29" s="328">
        <v>0</v>
      </c>
      <c r="I29" s="328">
        <v>0</v>
      </c>
      <c r="J29" s="328">
        <v>101.5</v>
      </c>
      <c r="K29" s="328">
        <v>0</v>
      </c>
      <c r="L29" s="328">
        <v>0</v>
      </c>
      <c r="M29" s="328">
        <v>0</v>
      </c>
      <c r="N29" s="328">
        <v>0</v>
      </c>
      <c r="O29" s="328">
        <v>0</v>
      </c>
      <c r="P29" s="328">
        <f>O29</f>
        <v>0</v>
      </c>
      <c r="Q29" s="328">
        <f t="shared" si="0"/>
        <v>0</v>
      </c>
      <c r="R29" s="328">
        <f t="shared" si="1"/>
        <v>101.5</v>
      </c>
      <c r="S29" s="122"/>
    </row>
    <row r="30" spans="1:19" s="26" customFormat="1" ht="62.25" customHeight="1" x14ac:dyDescent="0.25">
      <c r="A30" s="343" t="s">
        <v>56</v>
      </c>
      <c r="B30" s="344" t="s">
        <v>382</v>
      </c>
      <c r="C30" s="177" t="s">
        <v>187</v>
      </c>
      <c r="D30" s="333" t="s">
        <v>188</v>
      </c>
      <c r="E30" s="333" t="s">
        <v>358</v>
      </c>
      <c r="F30" s="333" t="s">
        <v>383</v>
      </c>
      <c r="G30" s="333" t="s">
        <v>267</v>
      </c>
      <c r="H30" s="328"/>
      <c r="I30" s="328">
        <v>694</v>
      </c>
      <c r="J30" s="328"/>
      <c r="K30" s="328"/>
      <c r="L30" s="328"/>
      <c r="M30" s="328"/>
      <c r="N30" s="328"/>
      <c r="O30" s="328"/>
      <c r="P30" s="328">
        <f>O30</f>
        <v>0</v>
      </c>
      <c r="Q30" s="328">
        <f t="shared" si="0"/>
        <v>0</v>
      </c>
      <c r="R30" s="328">
        <f t="shared" si="1"/>
        <v>694</v>
      </c>
      <c r="S30" s="345"/>
    </row>
    <row r="31" spans="1:19" s="26" customFormat="1" ht="63.75" customHeight="1" x14ac:dyDescent="0.25">
      <c r="A31" s="343" t="s">
        <v>58</v>
      </c>
      <c r="B31" s="344" t="s">
        <v>384</v>
      </c>
      <c r="C31" s="177" t="s">
        <v>187</v>
      </c>
      <c r="D31" s="333" t="s">
        <v>188</v>
      </c>
      <c r="E31" s="333" t="s">
        <v>358</v>
      </c>
      <c r="F31" s="333" t="s">
        <v>385</v>
      </c>
      <c r="G31" s="333" t="s">
        <v>267</v>
      </c>
      <c r="H31" s="328">
        <v>0</v>
      </c>
      <c r="I31" s="328">
        <v>7.3</v>
      </c>
      <c r="J31" s="328"/>
      <c r="K31" s="328"/>
      <c r="L31" s="328"/>
      <c r="M31" s="328"/>
      <c r="N31" s="328"/>
      <c r="O31" s="328"/>
      <c r="P31" s="328">
        <f>O31</f>
        <v>0</v>
      </c>
      <c r="Q31" s="328">
        <f t="shared" si="0"/>
        <v>0</v>
      </c>
      <c r="R31" s="328">
        <f t="shared" si="1"/>
        <v>7.3</v>
      </c>
      <c r="S31" s="345"/>
    </row>
    <row r="32" spans="1:19" ht="46.5" customHeight="1" x14ac:dyDescent="0.25">
      <c r="A32" s="343" t="s">
        <v>386</v>
      </c>
      <c r="B32" s="344" t="s">
        <v>387</v>
      </c>
      <c r="C32" s="177" t="s">
        <v>187</v>
      </c>
      <c r="D32" s="333" t="s">
        <v>188</v>
      </c>
      <c r="E32" s="333" t="s">
        <v>358</v>
      </c>
      <c r="F32" s="333" t="s">
        <v>388</v>
      </c>
      <c r="G32" s="333" t="s">
        <v>267</v>
      </c>
      <c r="H32" s="328"/>
      <c r="I32" s="328"/>
      <c r="J32" s="328">
        <v>6.8</v>
      </c>
      <c r="K32" s="328">
        <f>6.8+86.4</f>
        <v>93.2</v>
      </c>
      <c r="L32" s="328">
        <f>46.4+46.8</f>
        <v>93.199999999999989</v>
      </c>
      <c r="M32" s="328">
        <v>7.9</v>
      </c>
      <c r="N32" s="328">
        <v>6.04</v>
      </c>
      <c r="O32" s="334">
        <v>4.9000000000000004</v>
      </c>
      <c r="P32" s="328"/>
      <c r="Q32" s="328"/>
      <c r="R32" s="328">
        <f t="shared" si="1"/>
        <v>212.04</v>
      </c>
      <c r="S32" s="122" t="s">
        <v>389</v>
      </c>
    </row>
    <row r="33" spans="1:19" ht="35.1" customHeight="1" x14ac:dyDescent="0.25">
      <c r="A33" s="331" t="s">
        <v>390</v>
      </c>
      <c r="B33" s="346" t="s">
        <v>391</v>
      </c>
      <c r="C33" s="326" t="s">
        <v>187</v>
      </c>
      <c r="D33" s="333" t="s">
        <v>188</v>
      </c>
      <c r="E33" s="333" t="s">
        <v>358</v>
      </c>
      <c r="F33" s="333" t="s">
        <v>388</v>
      </c>
      <c r="G33" s="333" t="s">
        <v>269</v>
      </c>
      <c r="H33" s="328"/>
      <c r="I33" s="328"/>
      <c r="J33" s="328">
        <v>16.7</v>
      </c>
      <c r="K33" s="328">
        <f>10.1+2</f>
        <v>12.1</v>
      </c>
      <c r="L33" s="328">
        <v>10.5</v>
      </c>
      <c r="M33" s="328">
        <v>1.9</v>
      </c>
      <c r="N33" s="328">
        <f>1.58-0.12</f>
        <v>1.46</v>
      </c>
      <c r="O33" s="334">
        <v>1.6</v>
      </c>
      <c r="P33" s="328"/>
      <c r="Q33" s="328"/>
      <c r="R33" s="328">
        <f t="shared" si="1"/>
        <v>44.26</v>
      </c>
      <c r="S33" s="122"/>
    </row>
    <row r="34" spans="1:19" ht="35.1" customHeight="1" x14ac:dyDescent="0.25">
      <c r="A34" s="331"/>
      <c r="B34" s="346"/>
      <c r="C34" s="326"/>
      <c r="D34" s="333" t="s">
        <v>188</v>
      </c>
      <c r="E34" s="333" t="s">
        <v>358</v>
      </c>
      <c r="F34" s="333" t="s">
        <v>392</v>
      </c>
      <c r="G34" s="333" t="s">
        <v>369</v>
      </c>
      <c r="H34" s="328"/>
      <c r="I34" s="328"/>
      <c r="J34" s="328">
        <v>7.2</v>
      </c>
      <c r="K34" s="328"/>
      <c r="L34" s="328"/>
      <c r="M34" s="328"/>
      <c r="N34" s="328">
        <v>6</v>
      </c>
      <c r="O34" s="334">
        <v>1</v>
      </c>
      <c r="P34" s="328"/>
      <c r="Q34" s="328"/>
      <c r="R34" s="328">
        <f t="shared" si="1"/>
        <v>14.2</v>
      </c>
      <c r="S34" s="122"/>
    </row>
    <row r="35" spans="1:19" ht="35.1" customHeight="1" x14ac:dyDescent="0.25">
      <c r="A35" s="331" t="s">
        <v>393</v>
      </c>
      <c r="B35" s="143" t="s">
        <v>394</v>
      </c>
      <c r="C35" s="326" t="s">
        <v>187</v>
      </c>
      <c r="D35" s="333" t="s">
        <v>188</v>
      </c>
      <c r="E35" s="333" t="s">
        <v>358</v>
      </c>
      <c r="F35" s="333" t="s">
        <v>395</v>
      </c>
      <c r="G35" s="333" t="s">
        <v>396</v>
      </c>
      <c r="H35" s="328"/>
      <c r="I35" s="328"/>
      <c r="J35" s="328"/>
      <c r="K35" s="328"/>
      <c r="L35" s="328"/>
      <c r="M35" s="328"/>
      <c r="N35" s="328">
        <v>0</v>
      </c>
      <c r="O35" s="328">
        <v>0</v>
      </c>
      <c r="P35" s="328">
        <v>2634.6</v>
      </c>
      <c r="Q35" s="328">
        <v>4059.2</v>
      </c>
      <c r="R35" s="328">
        <f t="shared" si="1"/>
        <v>6693.7999999999993</v>
      </c>
      <c r="S35" s="74"/>
    </row>
    <row r="36" spans="1:19" ht="35.1" customHeight="1" x14ac:dyDescent="0.25">
      <c r="A36" s="331"/>
      <c r="B36" s="206"/>
      <c r="C36" s="326"/>
      <c r="D36" s="333" t="s">
        <v>188</v>
      </c>
      <c r="E36" s="333" t="s">
        <v>358</v>
      </c>
      <c r="F36" s="333" t="s">
        <v>397</v>
      </c>
      <c r="G36" s="333" t="s">
        <v>396</v>
      </c>
      <c r="H36" s="328"/>
      <c r="I36" s="328"/>
      <c r="J36" s="328"/>
      <c r="K36" s="328"/>
      <c r="L36" s="328"/>
      <c r="M36" s="328"/>
      <c r="N36" s="328"/>
      <c r="O36" s="328">
        <v>0</v>
      </c>
      <c r="P36" s="328">
        <v>53.8</v>
      </c>
      <c r="Q36" s="328">
        <v>82.9</v>
      </c>
      <c r="R36" s="328">
        <f t="shared" si="1"/>
        <v>136.69999999999999</v>
      </c>
      <c r="S36" s="79"/>
    </row>
    <row r="37" spans="1:19" ht="35.1" customHeight="1" x14ac:dyDescent="0.25">
      <c r="A37" s="331" t="s">
        <v>398</v>
      </c>
      <c r="B37" s="143" t="s">
        <v>399</v>
      </c>
      <c r="C37" s="326" t="s">
        <v>187</v>
      </c>
      <c r="D37" s="333" t="s">
        <v>188</v>
      </c>
      <c r="E37" s="333" t="s">
        <v>358</v>
      </c>
      <c r="F37" s="333" t="s">
        <v>397</v>
      </c>
      <c r="G37" s="333" t="s">
        <v>267</v>
      </c>
      <c r="H37" s="328"/>
      <c r="I37" s="328"/>
      <c r="J37" s="328"/>
      <c r="K37" s="328"/>
      <c r="L37" s="328"/>
      <c r="M37" s="328"/>
      <c r="N37" s="328"/>
      <c r="O37" s="328">
        <v>0</v>
      </c>
      <c r="P37" s="328">
        <v>0</v>
      </c>
      <c r="Q37" s="328">
        <v>0</v>
      </c>
      <c r="R37" s="328">
        <f t="shared" si="1"/>
        <v>0</v>
      </c>
    </row>
    <row r="38" spans="1:19" ht="35.1" customHeight="1" x14ac:dyDescent="0.25">
      <c r="A38" s="331"/>
      <c r="B38" s="206"/>
      <c r="C38" s="326"/>
      <c r="D38" s="333" t="s">
        <v>188</v>
      </c>
      <c r="E38" s="333" t="s">
        <v>358</v>
      </c>
      <c r="F38" s="333" t="s">
        <v>397</v>
      </c>
      <c r="G38" s="333" t="s">
        <v>396</v>
      </c>
      <c r="H38" s="328"/>
      <c r="I38" s="328"/>
      <c r="J38" s="328"/>
      <c r="K38" s="328"/>
      <c r="L38" s="328"/>
      <c r="M38" s="328"/>
      <c r="N38" s="328"/>
      <c r="O38" s="328">
        <v>0</v>
      </c>
      <c r="P38" s="328">
        <v>0</v>
      </c>
      <c r="Q38" s="328">
        <f t="shared" si="0"/>
        <v>0</v>
      </c>
      <c r="R38" s="328">
        <f t="shared" si="1"/>
        <v>0</v>
      </c>
    </row>
    <row r="39" spans="1:19" ht="35.1" customHeight="1" x14ac:dyDescent="0.25">
      <c r="A39" s="331" t="s">
        <v>400</v>
      </c>
      <c r="B39" s="256" t="s">
        <v>401</v>
      </c>
      <c r="C39" s="326" t="s">
        <v>187</v>
      </c>
      <c r="D39" s="333" t="s">
        <v>188</v>
      </c>
      <c r="E39" s="333" t="s">
        <v>358</v>
      </c>
      <c r="F39" s="333" t="s">
        <v>402</v>
      </c>
      <c r="G39" s="333" t="s">
        <v>267</v>
      </c>
      <c r="H39" s="328"/>
      <c r="I39" s="328"/>
      <c r="J39" s="328"/>
      <c r="K39" s="328"/>
      <c r="L39" s="328"/>
      <c r="M39" s="328"/>
      <c r="N39" s="328">
        <v>1800</v>
      </c>
      <c r="O39" s="328">
        <v>600</v>
      </c>
      <c r="P39" s="328">
        <v>0</v>
      </c>
      <c r="Q39" s="328">
        <f t="shared" si="0"/>
        <v>0</v>
      </c>
      <c r="R39" s="328">
        <f t="shared" si="1"/>
        <v>2400</v>
      </c>
      <c r="S39" s="74"/>
    </row>
    <row r="40" spans="1:19" ht="35.1" customHeight="1" x14ac:dyDescent="0.25">
      <c r="A40" s="331"/>
      <c r="B40" s="260"/>
      <c r="C40" s="326"/>
      <c r="D40" s="333" t="s">
        <v>188</v>
      </c>
      <c r="E40" s="333" t="s">
        <v>358</v>
      </c>
      <c r="F40" s="333" t="s">
        <v>402</v>
      </c>
      <c r="G40" s="333" t="s">
        <v>269</v>
      </c>
      <c r="H40" s="328"/>
      <c r="I40" s="328"/>
      <c r="J40" s="328"/>
      <c r="K40" s="328"/>
      <c r="L40" s="328"/>
      <c r="M40" s="328"/>
      <c r="N40" s="328">
        <v>0</v>
      </c>
      <c r="O40" s="334">
        <v>600</v>
      </c>
      <c r="P40" s="328">
        <v>0</v>
      </c>
      <c r="Q40" s="328">
        <v>0</v>
      </c>
      <c r="R40" s="328">
        <f t="shared" si="1"/>
        <v>600</v>
      </c>
      <c r="S40" s="79"/>
    </row>
    <row r="41" spans="1:19" ht="52.9" customHeight="1" x14ac:dyDescent="0.25">
      <c r="A41" s="331" t="s">
        <v>403</v>
      </c>
      <c r="B41" s="256" t="s">
        <v>404</v>
      </c>
      <c r="C41" s="326" t="s">
        <v>187</v>
      </c>
      <c r="D41" s="333" t="s">
        <v>188</v>
      </c>
      <c r="E41" s="333" t="s">
        <v>358</v>
      </c>
      <c r="F41" s="333" t="s">
        <v>405</v>
      </c>
      <c r="G41" s="333" t="s">
        <v>406</v>
      </c>
      <c r="H41" s="328"/>
      <c r="I41" s="328"/>
      <c r="J41" s="328"/>
      <c r="K41" s="328"/>
      <c r="L41" s="328"/>
      <c r="M41" s="328"/>
      <c r="N41" s="328">
        <v>90</v>
      </c>
      <c r="O41" s="334">
        <v>60</v>
      </c>
      <c r="P41" s="328">
        <v>0</v>
      </c>
      <c r="Q41" s="328">
        <f t="shared" si="0"/>
        <v>0</v>
      </c>
      <c r="R41" s="328">
        <f t="shared" si="1"/>
        <v>150</v>
      </c>
    </row>
    <row r="42" spans="1:19" ht="61.9" customHeight="1" x14ac:dyDescent="0.25">
      <c r="A42" s="331"/>
      <c r="B42" s="260"/>
      <c r="C42" s="326"/>
      <c r="D42" s="333" t="s">
        <v>188</v>
      </c>
      <c r="E42" s="333" t="s">
        <v>358</v>
      </c>
      <c r="F42" s="333" t="s">
        <v>407</v>
      </c>
      <c r="G42" s="333" t="s">
        <v>267</v>
      </c>
      <c r="H42" s="328"/>
      <c r="I42" s="328"/>
      <c r="J42" s="328"/>
      <c r="K42" s="328"/>
      <c r="L42" s="328"/>
      <c r="M42" s="328"/>
      <c r="N42" s="328">
        <v>0</v>
      </c>
      <c r="O42" s="328">
        <v>0</v>
      </c>
      <c r="P42" s="328">
        <v>0</v>
      </c>
      <c r="Q42" s="328">
        <v>1386.5</v>
      </c>
      <c r="R42" s="328">
        <f t="shared" si="1"/>
        <v>1386.5</v>
      </c>
    </row>
    <row r="43" spans="1:19" ht="61.9" customHeight="1" x14ac:dyDescent="0.25">
      <c r="A43" s="211"/>
      <c r="B43" s="347"/>
      <c r="C43" s="177"/>
      <c r="D43" s="333" t="s">
        <v>188</v>
      </c>
      <c r="E43" s="333" t="s">
        <v>358</v>
      </c>
      <c r="F43" s="333" t="s">
        <v>408</v>
      </c>
      <c r="G43" s="333" t="s">
        <v>267</v>
      </c>
      <c r="H43" s="328"/>
      <c r="I43" s="328"/>
      <c r="J43" s="328"/>
      <c r="K43" s="328"/>
      <c r="L43" s="328"/>
      <c r="M43" s="328"/>
      <c r="N43" s="328">
        <v>0</v>
      </c>
      <c r="O43" s="328">
        <v>0</v>
      </c>
      <c r="P43" s="328">
        <v>0</v>
      </c>
      <c r="Q43" s="328">
        <v>28.3</v>
      </c>
      <c r="R43" s="328">
        <f t="shared" si="1"/>
        <v>28.3</v>
      </c>
    </row>
    <row r="44" spans="1:19" ht="61.9" customHeight="1" x14ac:dyDescent="0.25">
      <c r="A44" s="211"/>
      <c r="B44" s="347"/>
      <c r="C44" s="177"/>
      <c r="D44" s="333" t="s">
        <v>188</v>
      </c>
      <c r="E44" s="333" t="s">
        <v>358</v>
      </c>
      <c r="F44" s="333" t="s">
        <v>407</v>
      </c>
      <c r="G44" s="333" t="s">
        <v>269</v>
      </c>
      <c r="H44" s="328"/>
      <c r="I44" s="328"/>
      <c r="J44" s="328"/>
      <c r="K44" s="328"/>
      <c r="L44" s="328"/>
      <c r="M44" s="328"/>
      <c r="N44" s="328">
        <v>0</v>
      </c>
      <c r="O44" s="328">
        <v>0</v>
      </c>
      <c r="P44" s="328">
        <v>0</v>
      </c>
      <c r="Q44" s="328">
        <v>0</v>
      </c>
      <c r="R44" s="328">
        <f t="shared" si="1"/>
        <v>0</v>
      </c>
    </row>
    <row r="45" spans="1:19" ht="61.9" customHeight="1" x14ac:dyDescent="0.25">
      <c r="A45" s="211"/>
      <c r="B45" s="347"/>
      <c r="C45" s="177"/>
      <c r="D45" s="333" t="s">
        <v>188</v>
      </c>
      <c r="E45" s="333" t="s">
        <v>358</v>
      </c>
      <c r="F45" s="333" t="s">
        <v>408</v>
      </c>
      <c r="G45" s="333" t="s">
        <v>269</v>
      </c>
      <c r="H45" s="328"/>
      <c r="I45" s="328"/>
      <c r="J45" s="328"/>
      <c r="K45" s="328"/>
      <c r="L45" s="328"/>
      <c r="M45" s="328"/>
      <c r="N45" s="328">
        <v>0</v>
      </c>
      <c r="O45" s="328">
        <v>0</v>
      </c>
      <c r="P45" s="328">
        <v>0</v>
      </c>
      <c r="Q45" s="328">
        <v>0</v>
      </c>
      <c r="R45" s="328">
        <f t="shared" si="1"/>
        <v>0</v>
      </c>
    </row>
    <row r="46" spans="1:19" ht="73.900000000000006" customHeight="1" x14ac:dyDescent="0.25">
      <c r="A46" s="331" t="s">
        <v>409</v>
      </c>
      <c r="B46" s="347" t="s">
        <v>401</v>
      </c>
      <c r="C46" s="326" t="s">
        <v>187</v>
      </c>
      <c r="D46" s="333" t="s">
        <v>188</v>
      </c>
      <c r="E46" s="333" t="s">
        <v>358</v>
      </c>
      <c r="F46" s="333" t="s">
        <v>407</v>
      </c>
      <c r="G46" s="333" t="s">
        <v>302</v>
      </c>
      <c r="H46" s="328"/>
      <c r="I46" s="328"/>
      <c r="J46" s="328"/>
      <c r="K46" s="328"/>
      <c r="L46" s="328"/>
      <c r="M46" s="328"/>
      <c r="N46" s="328">
        <f>2866.8-57.4</f>
        <v>2809.4</v>
      </c>
      <c r="O46" s="328">
        <v>2714.2</v>
      </c>
      <c r="P46" s="328">
        <v>0</v>
      </c>
      <c r="Q46" s="328">
        <f t="shared" si="0"/>
        <v>0</v>
      </c>
      <c r="R46" s="328">
        <f t="shared" si="1"/>
        <v>5523.6</v>
      </c>
    </row>
    <row r="47" spans="1:19" ht="78.599999999999994" customHeight="1" x14ac:dyDescent="0.25">
      <c r="A47" s="331"/>
      <c r="B47" s="348" t="s">
        <v>404</v>
      </c>
      <c r="C47" s="326"/>
      <c r="D47" s="333" t="s">
        <v>188</v>
      </c>
      <c r="E47" s="333" t="s">
        <v>358</v>
      </c>
      <c r="F47" s="333" t="s">
        <v>408</v>
      </c>
      <c r="G47" s="333" t="s">
        <v>302</v>
      </c>
      <c r="H47" s="328"/>
      <c r="I47" s="328"/>
      <c r="J47" s="328"/>
      <c r="K47" s="328"/>
      <c r="L47" s="328"/>
      <c r="M47" s="328"/>
      <c r="N47" s="328">
        <v>57.4</v>
      </c>
      <c r="O47" s="328">
        <v>55.4</v>
      </c>
      <c r="P47" s="328">
        <v>0</v>
      </c>
      <c r="Q47" s="328">
        <f t="shared" si="0"/>
        <v>0</v>
      </c>
      <c r="R47" s="328">
        <f t="shared" si="1"/>
        <v>112.8</v>
      </c>
    </row>
    <row r="48" spans="1:19" ht="78.599999999999994" customHeight="1" x14ac:dyDescent="0.25">
      <c r="A48" s="254" t="s">
        <v>410</v>
      </c>
      <c r="B48" s="349" t="s">
        <v>411</v>
      </c>
      <c r="C48" s="348" t="s">
        <v>187</v>
      </c>
      <c r="D48" s="333" t="s">
        <v>188</v>
      </c>
      <c r="E48" s="333" t="s">
        <v>358</v>
      </c>
      <c r="F48" s="333" t="s">
        <v>412</v>
      </c>
      <c r="G48" s="333" t="s">
        <v>267</v>
      </c>
      <c r="H48" s="328"/>
      <c r="I48" s="328"/>
      <c r="J48" s="328"/>
      <c r="K48" s="328"/>
      <c r="L48" s="328"/>
      <c r="M48" s="328"/>
      <c r="N48" s="328">
        <v>2400</v>
      </c>
      <c r="O48" s="328">
        <v>5500</v>
      </c>
      <c r="P48" s="328">
        <v>0</v>
      </c>
      <c r="Q48" s="328">
        <f t="shared" si="0"/>
        <v>0</v>
      </c>
      <c r="R48" s="328">
        <f t="shared" si="1"/>
        <v>7900</v>
      </c>
    </row>
    <row r="49" spans="1:19" ht="78.599999999999994" customHeight="1" x14ac:dyDescent="0.25">
      <c r="A49" s="257"/>
      <c r="B49" s="349" t="s">
        <v>413</v>
      </c>
      <c r="C49" s="348" t="s">
        <v>187</v>
      </c>
      <c r="D49" s="333" t="s">
        <v>188</v>
      </c>
      <c r="E49" s="333" t="s">
        <v>358</v>
      </c>
      <c r="F49" s="333" t="s">
        <v>414</v>
      </c>
      <c r="G49" s="333" t="s">
        <v>267</v>
      </c>
      <c r="H49" s="328"/>
      <c r="I49" s="328"/>
      <c r="J49" s="328"/>
      <c r="K49" s="328"/>
      <c r="L49" s="328"/>
      <c r="M49" s="328"/>
      <c r="N49" s="328">
        <v>400</v>
      </c>
      <c r="O49" s="328">
        <v>300</v>
      </c>
      <c r="P49" s="328">
        <v>0</v>
      </c>
      <c r="Q49" s="328">
        <f t="shared" si="0"/>
        <v>0</v>
      </c>
      <c r="R49" s="328">
        <f t="shared" si="1"/>
        <v>700</v>
      </c>
    </row>
    <row r="50" spans="1:19" ht="78.599999999999994" customHeight="1" x14ac:dyDescent="0.25">
      <c r="A50" s="350" t="s">
        <v>415</v>
      </c>
      <c r="B50" s="349" t="s">
        <v>416</v>
      </c>
      <c r="C50" s="348" t="s">
        <v>187</v>
      </c>
      <c r="D50" s="333" t="s">
        <v>188</v>
      </c>
      <c r="E50" s="333" t="s">
        <v>358</v>
      </c>
      <c r="F50" s="333" t="s">
        <v>368</v>
      </c>
      <c r="G50" s="333" t="s">
        <v>267</v>
      </c>
      <c r="H50" s="328"/>
      <c r="I50" s="328"/>
      <c r="J50" s="328"/>
      <c r="K50" s="328"/>
      <c r="L50" s="328"/>
      <c r="M50" s="328"/>
      <c r="N50" s="328">
        <v>856.3</v>
      </c>
      <c r="O50" s="328">
        <v>0</v>
      </c>
      <c r="P50" s="328">
        <v>0</v>
      </c>
      <c r="Q50" s="328">
        <f t="shared" si="0"/>
        <v>0</v>
      </c>
      <c r="R50" s="328">
        <f t="shared" si="1"/>
        <v>856.3</v>
      </c>
    </row>
    <row r="51" spans="1:19" ht="102.6" customHeight="1" x14ac:dyDescent="0.25">
      <c r="A51" s="350" t="s">
        <v>417</v>
      </c>
      <c r="B51" s="349" t="s">
        <v>418</v>
      </c>
      <c r="C51" s="348" t="s">
        <v>187</v>
      </c>
      <c r="D51" s="333" t="s">
        <v>188</v>
      </c>
      <c r="E51" s="333" t="s">
        <v>358</v>
      </c>
      <c r="F51" s="333" t="s">
        <v>370</v>
      </c>
      <c r="G51" s="333" t="s">
        <v>267</v>
      </c>
      <c r="H51" s="328"/>
      <c r="I51" s="328"/>
      <c r="J51" s="328"/>
      <c r="K51" s="328"/>
      <c r="L51" s="328"/>
      <c r="M51" s="328"/>
      <c r="N51" s="328">
        <v>95.1</v>
      </c>
      <c r="O51" s="328">
        <v>0</v>
      </c>
      <c r="P51" s="328">
        <v>0</v>
      </c>
      <c r="Q51" s="328">
        <f t="shared" si="0"/>
        <v>0</v>
      </c>
      <c r="R51" s="328">
        <f t="shared" si="1"/>
        <v>95.1</v>
      </c>
    </row>
    <row r="52" spans="1:19" ht="102.6" customHeight="1" x14ac:dyDescent="0.25">
      <c r="A52" s="350" t="s">
        <v>419</v>
      </c>
      <c r="B52" s="349" t="s">
        <v>420</v>
      </c>
      <c r="C52" s="348" t="s">
        <v>187</v>
      </c>
      <c r="D52" s="333" t="s">
        <v>188</v>
      </c>
      <c r="E52" s="333" t="s">
        <v>358</v>
      </c>
      <c r="F52" s="333" t="s">
        <v>421</v>
      </c>
      <c r="G52" s="333" t="s">
        <v>267</v>
      </c>
      <c r="H52" s="328"/>
      <c r="I52" s="328"/>
      <c r="J52" s="328"/>
      <c r="K52" s="328"/>
      <c r="L52" s="328"/>
      <c r="M52" s="328"/>
      <c r="N52" s="328">
        <v>2398.5</v>
      </c>
      <c r="O52" s="334">
        <v>531</v>
      </c>
      <c r="P52" s="328">
        <v>0</v>
      </c>
      <c r="Q52" s="328">
        <f t="shared" si="0"/>
        <v>0</v>
      </c>
      <c r="R52" s="328">
        <f t="shared" si="1"/>
        <v>2929.5</v>
      </c>
    </row>
    <row r="53" spans="1:19" ht="35.1" customHeight="1" x14ac:dyDescent="0.25">
      <c r="A53" s="351" t="s">
        <v>324</v>
      </c>
      <c r="B53" s="351"/>
      <c r="C53" s="348"/>
      <c r="D53" s="352"/>
      <c r="E53" s="352"/>
      <c r="F53" s="352"/>
      <c r="G53" s="352"/>
      <c r="H53" s="153">
        <f t="shared" ref="H53:M53" si="2">SUM(H7:H34)</f>
        <v>10161.199999999999</v>
      </c>
      <c r="I53" s="153">
        <f t="shared" si="2"/>
        <v>13094</v>
      </c>
      <c r="J53" s="153">
        <f t="shared" si="2"/>
        <v>13027.6</v>
      </c>
      <c r="K53" s="153">
        <f t="shared" si="2"/>
        <v>17311.7</v>
      </c>
      <c r="L53" s="153">
        <f t="shared" si="2"/>
        <v>20666.900000000001</v>
      </c>
      <c r="M53" s="153">
        <f t="shared" si="2"/>
        <v>26856.300000000003</v>
      </c>
      <c r="N53" s="153">
        <f>SUM(N7:N52)</f>
        <v>27723.600000000002</v>
      </c>
      <c r="O53" s="153">
        <f>SUM(O7:O52)</f>
        <v>43496.1</v>
      </c>
      <c r="P53" s="153">
        <f>SUM(P7:P52)</f>
        <v>28637.3</v>
      </c>
      <c r="Q53" s="153">
        <f>SUM(Q7:Q52)</f>
        <v>32271.400000000005</v>
      </c>
      <c r="R53" s="328">
        <f t="shared" si="1"/>
        <v>233246.09999999998</v>
      </c>
      <c r="S53" s="353"/>
    </row>
    <row r="54" spans="1:19" ht="33" customHeight="1" x14ac:dyDescent="0.25">
      <c r="A54" s="233" t="s">
        <v>334</v>
      </c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</row>
    <row r="55" spans="1:19" ht="35.1" customHeight="1" x14ac:dyDescent="0.25">
      <c r="A55" s="354" t="s">
        <v>61</v>
      </c>
      <c r="B55" s="346" t="s">
        <v>422</v>
      </c>
      <c r="C55" s="326"/>
      <c r="D55" s="177" t="s">
        <v>188</v>
      </c>
      <c r="E55" s="339" t="s">
        <v>358</v>
      </c>
      <c r="F55" s="333" t="s">
        <v>363</v>
      </c>
      <c r="G55" s="339">
        <v>110</v>
      </c>
      <c r="H55" s="328">
        <v>13238</v>
      </c>
      <c r="I55" s="328">
        <v>13739.9</v>
      </c>
      <c r="J55" s="328">
        <v>12713.2</v>
      </c>
      <c r="K55" s="328">
        <v>12251.6</v>
      </c>
      <c r="L55" s="328">
        <v>11621.6</v>
      </c>
      <c r="M55" s="328">
        <v>6639.3</v>
      </c>
      <c r="N55" s="328">
        <v>0</v>
      </c>
      <c r="O55" s="328">
        <v>0</v>
      </c>
      <c r="P55" s="328">
        <v>0</v>
      </c>
      <c r="Q55" s="328">
        <f>P55</f>
        <v>0</v>
      </c>
      <c r="R55" s="328">
        <f>SUM(H55:Q55)</f>
        <v>70203.600000000006</v>
      </c>
      <c r="S55" s="122" t="s">
        <v>423</v>
      </c>
    </row>
    <row r="56" spans="1:19" ht="35.1" customHeight="1" x14ac:dyDescent="0.25">
      <c r="A56" s="354"/>
      <c r="B56" s="346"/>
      <c r="C56" s="326"/>
      <c r="D56" s="177" t="s">
        <v>188</v>
      </c>
      <c r="E56" s="339" t="s">
        <v>358</v>
      </c>
      <c r="F56" s="333" t="s">
        <v>363</v>
      </c>
      <c r="G56" s="339">
        <v>240</v>
      </c>
      <c r="H56" s="328">
        <f>6496+150</f>
        <v>6646</v>
      </c>
      <c r="I56" s="328">
        <f>7475.8+89.9</f>
        <v>7565.7</v>
      </c>
      <c r="J56" s="328">
        <v>8087.8</v>
      </c>
      <c r="K56" s="328">
        <v>7359.7</v>
      </c>
      <c r="L56" s="328">
        <f>7456-L10</f>
        <v>6843.8</v>
      </c>
      <c r="M56" s="328">
        <v>3610.3</v>
      </c>
      <c r="N56" s="328">
        <v>0</v>
      </c>
      <c r="O56" s="328">
        <v>0</v>
      </c>
      <c r="P56" s="328">
        <v>0</v>
      </c>
      <c r="Q56" s="328">
        <f t="shared" ref="Q56:Q110" si="3">P56</f>
        <v>0</v>
      </c>
      <c r="R56" s="328">
        <f t="shared" ref="R56:R110" si="4">SUM(H56:Q56)</f>
        <v>40113.300000000003</v>
      </c>
      <c r="S56" s="122"/>
    </row>
    <row r="57" spans="1:19" ht="35.1" customHeight="1" x14ac:dyDescent="0.25">
      <c r="A57" s="354"/>
      <c r="B57" s="346"/>
      <c r="C57" s="326"/>
      <c r="D57" s="177" t="s">
        <v>188</v>
      </c>
      <c r="E57" s="339" t="s">
        <v>358</v>
      </c>
      <c r="F57" s="333" t="s">
        <v>363</v>
      </c>
      <c r="G57" s="339">
        <v>611</v>
      </c>
      <c r="H57" s="328">
        <v>36650.199999999997</v>
      </c>
      <c r="I57" s="328">
        <v>39146.800000000003</v>
      </c>
      <c r="J57" s="328">
        <v>21385.4</v>
      </c>
      <c r="K57" s="328">
        <v>20376.5</v>
      </c>
      <c r="L57" s="328">
        <v>21744.3</v>
      </c>
      <c r="M57" s="328">
        <v>21733.1</v>
      </c>
      <c r="N57" s="328">
        <v>22651.4</v>
      </c>
      <c r="O57" s="334">
        <v>3425.9</v>
      </c>
      <c r="P57" s="328">
        <f>2031.5+59.6-3.2</f>
        <v>2087.9</v>
      </c>
      <c r="Q57" s="328">
        <f>2031.5-25.4-23.9</f>
        <v>1982.1999999999998</v>
      </c>
      <c r="R57" s="328">
        <f t="shared" si="4"/>
        <v>191183.69999999998</v>
      </c>
      <c r="S57" s="122"/>
    </row>
    <row r="58" spans="1:19" ht="35.1" customHeight="1" x14ac:dyDescent="0.25">
      <c r="A58" s="354"/>
      <c r="B58" s="346"/>
      <c r="C58" s="326"/>
      <c r="D58" s="177" t="s">
        <v>188</v>
      </c>
      <c r="E58" s="339" t="s">
        <v>358</v>
      </c>
      <c r="F58" s="333" t="s">
        <v>424</v>
      </c>
      <c r="G58" s="339">
        <v>611</v>
      </c>
      <c r="H58" s="328"/>
      <c r="I58" s="328"/>
      <c r="J58" s="328"/>
      <c r="K58" s="328"/>
      <c r="L58" s="328"/>
      <c r="M58" s="328"/>
      <c r="N58" s="328"/>
      <c r="O58" s="328">
        <v>11785.5</v>
      </c>
      <c r="P58" s="328">
        <v>11835.5</v>
      </c>
      <c r="Q58" s="328">
        <f t="shared" si="3"/>
        <v>11835.5</v>
      </c>
      <c r="R58" s="328">
        <f t="shared" si="4"/>
        <v>35456.5</v>
      </c>
      <c r="S58" s="122"/>
    </row>
    <row r="59" spans="1:19" ht="35.1" customHeight="1" x14ac:dyDescent="0.25">
      <c r="A59" s="354"/>
      <c r="B59" s="346"/>
      <c r="C59" s="326"/>
      <c r="D59" s="177" t="s">
        <v>188</v>
      </c>
      <c r="E59" s="339" t="s">
        <v>358</v>
      </c>
      <c r="F59" s="333" t="s">
        <v>425</v>
      </c>
      <c r="G59" s="339">
        <v>611</v>
      </c>
      <c r="H59" s="328"/>
      <c r="I59" s="328"/>
      <c r="J59" s="328"/>
      <c r="K59" s="328"/>
      <c r="L59" s="328"/>
      <c r="M59" s="328"/>
      <c r="N59" s="328"/>
      <c r="O59" s="328">
        <v>22700.1</v>
      </c>
      <c r="P59" s="328">
        <v>23967.1</v>
      </c>
      <c r="Q59" s="328">
        <f t="shared" si="3"/>
        <v>23967.1</v>
      </c>
      <c r="R59" s="328">
        <f t="shared" si="4"/>
        <v>70634.299999999988</v>
      </c>
      <c r="S59" s="122"/>
    </row>
    <row r="60" spans="1:19" ht="35.1" customHeight="1" x14ac:dyDescent="0.25">
      <c r="A60" s="354"/>
      <c r="B60" s="346"/>
      <c r="C60" s="326"/>
      <c r="D60" s="177" t="s">
        <v>188</v>
      </c>
      <c r="E60" s="339" t="s">
        <v>358</v>
      </c>
      <c r="F60" s="333" t="s">
        <v>425</v>
      </c>
      <c r="G60" s="339">
        <v>870</v>
      </c>
      <c r="H60" s="328"/>
      <c r="I60" s="328"/>
      <c r="J60" s="328"/>
      <c r="K60" s="328"/>
      <c r="L60" s="328"/>
      <c r="M60" s="328"/>
      <c r="N60" s="328"/>
      <c r="O60" s="328">
        <v>2442.8000000000002</v>
      </c>
      <c r="P60" s="328">
        <v>0</v>
      </c>
      <c r="Q60" s="328">
        <v>0</v>
      </c>
      <c r="R60" s="328">
        <f t="shared" si="4"/>
        <v>2442.8000000000002</v>
      </c>
      <c r="S60" s="122"/>
    </row>
    <row r="61" spans="1:19" ht="35.1" customHeight="1" x14ac:dyDescent="0.25">
      <c r="A61" s="354"/>
      <c r="B61" s="346"/>
      <c r="C61" s="326"/>
      <c r="D61" s="177">
        <v>975</v>
      </c>
      <c r="E61" s="333" t="s">
        <v>358</v>
      </c>
      <c r="F61" s="333" t="s">
        <v>363</v>
      </c>
      <c r="G61" s="339">
        <v>612</v>
      </c>
      <c r="H61" s="328">
        <v>68.5</v>
      </c>
      <c r="I61" s="328"/>
      <c r="J61" s="328">
        <v>0</v>
      </c>
      <c r="K61" s="328"/>
      <c r="L61" s="328"/>
      <c r="M61" s="328"/>
      <c r="N61" s="328"/>
      <c r="O61" s="328"/>
      <c r="P61" s="328">
        <f>O61</f>
        <v>0</v>
      </c>
      <c r="Q61" s="328">
        <f t="shared" si="3"/>
        <v>0</v>
      </c>
      <c r="R61" s="328">
        <f t="shared" si="4"/>
        <v>68.5</v>
      </c>
      <c r="S61" s="122"/>
    </row>
    <row r="62" spans="1:19" ht="35.1" customHeight="1" x14ac:dyDescent="0.25">
      <c r="A62" s="354"/>
      <c r="B62" s="346"/>
      <c r="C62" s="326"/>
      <c r="D62" s="177" t="s">
        <v>188</v>
      </c>
      <c r="E62" s="339" t="s">
        <v>358</v>
      </c>
      <c r="F62" s="333" t="s">
        <v>363</v>
      </c>
      <c r="G62" s="339">
        <v>621</v>
      </c>
      <c r="H62" s="328">
        <v>16861.8</v>
      </c>
      <c r="I62" s="328">
        <v>17529.8</v>
      </c>
      <c r="J62" s="328">
        <v>8899.2000000000007</v>
      </c>
      <c r="K62" s="328">
        <v>8641.4</v>
      </c>
      <c r="L62" s="328">
        <v>9217.1</v>
      </c>
      <c r="M62" s="328">
        <v>9882.6</v>
      </c>
      <c r="N62" s="328">
        <v>10200.799999999999</v>
      </c>
      <c r="O62" s="334">
        <v>1229.5</v>
      </c>
      <c r="P62" s="328">
        <v>1094.8</v>
      </c>
      <c r="Q62" s="328">
        <f t="shared" si="3"/>
        <v>1094.8</v>
      </c>
      <c r="R62" s="328">
        <f t="shared" si="4"/>
        <v>84651.800000000017</v>
      </c>
      <c r="S62" s="122"/>
    </row>
    <row r="63" spans="1:19" ht="35.1" customHeight="1" x14ac:dyDescent="0.25">
      <c r="A63" s="354"/>
      <c r="B63" s="346"/>
      <c r="C63" s="326"/>
      <c r="D63" s="177" t="s">
        <v>188</v>
      </c>
      <c r="E63" s="339" t="s">
        <v>358</v>
      </c>
      <c r="F63" s="333" t="s">
        <v>424</v>
      </c>
      <c r="G63" s="339">
        <v>621</v>
      </c>
      <c r="H63" s="328"/>
      <c r="I63" s="328"/>
      <c r="J63" s="328"/>
      <c r="K63" s="328"/>
      <c r="L63" s="328"/>
      <c r="M63" s="328"/>
      <c r="N63" s="328"/>
      <c r="O63" s="328">
        <v>5138</v>
      </c>
      <c r="P63" s="328">
        <v>5177.8999999999996</v>
      </c>
      <c r="Q63" s="328">
        <f t="shared" si="3"/>
        <v>5177.8999999999996</v>
      </c>
      <c r="R63" s="328">
        <f t="shared" si="4"/>
        <v>15493.8</v>
      </c>
      <c r="S63" s="122"/>
    </row>
    <row r="64" spans="1:19" ht="35.1" customHeight="1" x14ac:dyDescent="0.25">
      <c r="A64" s="354"/>
      <c r="B64" s="346"/>
      <c r="C64" s="326"/>
      <c r="D64" s="177" t="s">
        <v>188</v>
      </c>
      <c r="E64" s="339" t="s">
        <v>358</v>
      </c>
      <c r="F64" s="333" t="s">
        <v>425</v>
      </c>
      <c r="G64" s="339">
        <v>621</v>
      </c>
      <c r="H64" s="328"/>
      <c r="I64" s="328"/>
      <c r="J64" s="328"/>
      <c r="K64" s="328"/>
      <c r="L64" s="328"/>
      <c r="M64" s="328"/>
      <c r="N64" s="328"/>
      <c r="O64" s="328">
        <v>5641.2</v>
      </c>
      <c r="P64" s="328">
        <v>5641.2</v>
      </c>
      <c r="Q64" s="328">
        <f t="shared" si="3"/>
        <v>5641.2</v>
      </c>
      <c r="R64" s="328">
        <f t="shared" si="4"/>
        <v>16923.599999999999</v>
      </c>
      <c r="S64" s="122"/>
    </row>
    <row r="65" spans="1:19" ht="35.1" customHeight="1" x14ac:dyDescent="0.25">
      <c r="A65" s="354"/>
      <c r="B65" s="346"/>
      <c r="C65" s="326"/>
      <c r="D65" s="177">
        <v>975</v>
      </c>
      <c r="E65" s="333" t="s">
        <v>358</v>
      </c>
      <c r="F65" s="333" t="s">
        <v>363</v>
      </c>
      <c r="G65" s="339">
        <v>622</v>
      </c>
      <c r="H65" s="328">
        <v>150</v>
      </c>
      <c r="I65" s="328"/>
      <c r="J65" s="328"/>
      <c r="K65" s="328"/>
      <c r="L65" s="328"/>
      <c r="M65" s="328"/>
      <c r="N65" s="328"/>
      <c r="O65" s="328"/>
      <c r="P65" s="328">
        <f>O65</f>
        <v>0</v>
      </c>
      <c r="Q65" s="328">
        <f t="shared" si="3"/>
        <v>0</v>
      </c>
      <c r="R65" s="328">
        <f t="shared" si="4"/>
        <v>150</v>
      </c>
      <c r="S65" s="122"/>
    </row>
    <row r="66" spans="1:19" ht="35.1" customHeight="1" x14ac:dyDescent="0.25">
      <c r="A66" s="354"/>
      <c r="B66" s="346"/>
      <c r="C66" s="326"/>
      <c r="D66" s="177">
        <v>975</v>
      </c>
      <c r="E66" s="333" t="s">
        <v>358</v>
      </c>
      <c r="F66" s="333" t="s">
        <v>363</v>
      </c>
      <c r="G66" s="339">
        <v>850</v>
      </c>
      <c r="H66" s="328">
        <v>26.5</v>
      </c>
      <c r="I66" s="328">
        <v>121.1</v>
      </c>
      <c r="J66" s="328">
        <v>14.2</v>
      </c>
      <c r="K66" s="328">
        <v>12.5</v>
      </c>
      <c r="L66" s="328">
        <v>136.1</v>
      </c>
      <c r="M66" s="328">
        <v>8.9</v>
      </c>
      <c r="N66" s="328">
        <v>0</v>
      </c>
      <c r="O66" s="328">
        <v>0</v>
      </c>
      <c r="P66" s="328">
        <v>0</v>
      </c>
      <c r="Q66" s="328">
        <f t="shared" si="3"/>
        <v>0</v>
      </c>
      <c r="R66" s="328">
        <f t="shared" si="4"/>
        <v>319.29999999999995</v>
      </c>
      <c r="S66" s="122"/>
    </row>
    <row r="67" spans="1:19" ht="35.1" customHeight="1" x14ac:dyDescent="0.25">
      <c r="A67" s="354"/>
      <c r="B67" s="346"/>
      <c r="C67" s="326"/>
      <c r="D67" s="177" t="s">
        <v>188</v>
      </c>
      <c r="E67" s="339" t="s">
        <v>358</v>
      </c>
      <c r="F67" s="333" t="s">
        <v>426</v>
      </c>
      <c r="G67" s="339">
        <v>110</v>
      </c>
      <c r="H67" s="328">
        <v>671.1</v>
      </c>
      <c r="I67" s="328">
        <v>882.4</v>
      </c>
      <c r="J67" s="328">
        <v>1697.2</v>
      </c>
      <c r="K67" s="328">
        <f>1447.3+437.1</f>
        <v>1884.4</v>
      </c>
      <c r="L67" s="328">
        <v>2298.1</v>
      </c>
      <c r="M67" s="328">
        <v>1906.9</v>
      </c>
      <c r="N67" s="328">
        <v>0</v>
      </c>
      <c r="O67" s="328">
        <v>0</v>
      </c>
      <c r="P67" s="328">
        <v>0</v>
      </c>
      <c r="Q67" s="328">
        <f t="shared" si="3"/>
        <v>0</v>
      </c>
      <c r="R67" s="328">
        <f t="shared" si="4"/>
        <v>9340.1</v>
      </c>
      <c r="S67" s="122"/>
    </row>
    <row r="68" spans="1:19" ht="35.1" customHeight="1" x14ac:dyDescent="0.25">
      <c r="A68" s="354"/>
      <c r="B68" s="346"/>
      <c r="C68" s="326"/>
      <c r="D68" s="177" t="s">
        <v>188</v>
      </c>
      <c r="E68" s="339" t="s">
        <v>358</v>
      </c>
      <c r="F68" s="333" t="s">
        <v>426</v>
      </c>
      <c r="G68" s="339">
        <v>611</v>
      </c>
      <c r="H68" s="328">
        <v>1841.5</v>
      </c>
      <c r="I68" s="328">
        <v>2844</v>
      </c>
      <c r="J68" s="328">
        <v>7162.7</v>
      </c>
      <c r="K68" s="328">
        <v>5652.6</v>
      </c>
      <c r="L68" s="328">
        <v>9203</v>
      </c>
      <c r="M68" s="328">
        <v>14852.2</v>
      </c>
      <c r="N68" s="328">
        <v>12395.1</v>
      </c>
      <c r="O68" s="328">
        <v>0</v>
      </c>
      <c r="P68" s="328">
        <v>0</v>
      </c>
      <c r="Q68" s="328">
        <f t="shared" si="3"/>
        <v>0</v>
      </c>
      <c r="R68" s="328">
        <f t="shared" si="4"/>
        <v>53951.1</v>
      </c>
      <c r="S68" s="122"/>
    </row>
    <row r="69" spans="1:19" ht="35.1" customHeight="1" x14ac:dyDescent="0.25">
      <c r="A69" s="354"/>
      <c r="B69" s="346"/>
      <c r="C69" s="326"/>
      <c r="D69" s="177">
        <v>975</v>
      </c>
      <c r="E69" s="333" t="s">
        <v>358</v>
      </c>
      <c r="F69" s="333" t="s">
        <v>426</v>
      </c>
      <c r="G69" s="339">
        <v>621</v>
      </c>
      <c r="H69" s="328"/>
      <c r="I69" s="328">
        <v>34.200000000000003</v>
      </c>
      <c r="J69" s="328">
        <v>65.400000000000006</v>
      </c>
      <c r="K69" s="328">
        <v>91.9</v>
      </c>
      <c r="L69" s="328">
        <v>172.8</v>
      </c>
      <c r="M69" s="328">
        <v>155.4</v>
      </c>
      <c r="N69" s="328">
        <v>179.7</v>
      </c>
      <c r="O69" s="328">
        <v>0</v>
      </c>
      <c r="P69" s="328">
        <v>0</v>
      </c>
      <c r="Q69" s="328">
        <f t="shared" si="3"/>
        <v>0</v>
      </c>
      <c r="R69" s="328">
        <f t="shared" si="4"/>
        <v>699.40000000000009</v>
      </c>
      <c r="S69" s="122"/>
    </row>
    <row r="70" spans="1:19" ht="35.1" customHeight="1" x14ac:dyDescent="0.25">
      <c r="A70" s="354"/>
      <c r="B70" s="346"/>
      <c r="C70" s="326"/>
      <c r="D70" s="177" t="s">
        <v>188</v>
      </c>
      <c r="E70" s="339" t="s">
        <v>358</v>
      </c>
      <c r="F70" s="333" t="s">
        <v>427</v>
      </c>
      <c r="G70" s="339">
        <v>611</v>
      </c>
      <c r="H70" s="328">
        <v>946.6</v>
      </c>
      <c r="I70" s="328">
        <v>1533.9</v>
      </c>
      <c r="J70" s="328"/>
      <c r="K70" s="328"/>
      <c r="L70" s="328"/>
      <c r="M70" s="328"/>
      <c r="N70" s="328"/>
      <c r="O70" s="328"/>
      <c r="P70" s="328">
        <f t="shared" ref="P70:P76" si="5">O70</f>
        <v>0</v>
      </c>
      <c r="Q70" s="328">
        <f t="shared" si="3"/>
        <v>0</v>
      </c>
      <c r="R70" s="328">
        <f t="shared" si="4"/>
        <v>2480.5</v>
      </c>
      <c r="S70" s="122"/>
    </row>
    <row r="71" spans="1:19" ht="35.1" customHeight="1" x14ac:dyDescent="0.25">
      <c r="A71" s="354"/>
      <c r="B71" s="346"/>
      <c r="C71" s="326"/>
      <c r="D71" s="177" t="s">
        <v>188</v>
      </c>
      <c r="E71" s="339" t="s">
        <v>358</v>
      </c>
      <c r="F71" s="333" t="s">
        <v>428</v>
      </c>
      <c r="G71" s="339">
        <v>110</v>
      </c>
      <c r="H71" s="328">
        <v>17</v>
      </c>
      <c r="I71" s="328"/>
      <c r="J71" s="328"/>
      <c r="K71" s="328"/>
      <c r="L71" s="328"/>
      <c r="M71" s="328"/>
      <c r="N71" s="328"/>
      <c r="O71" s="328"/>
      <c r="P71" s="328">
        <f t="shared" si="5"/>
        <v>0</v>
      </c>
      <c r="Q71" s="328">
        <f t="shared" si="3"/>
        <v>0</v>
      </c>
      <c r="R71" s="328">
        <f t="shared" si="4"/>
        <v>17</v>
      </c>
      <c r="S71" s="122"/>
    </row>
    <row r="72" spans="1:19" ht="35.1" customHeight="1" x14ac:dyDescent="0.25">
      <c r="A72" s="354"/>
      <c r="B72" s="346"/>
      <c r="C72" s="326"/>
      <c r="D72" s="177" t="s">
        <v>188</v>
      </c>
      <c r="E72" s="339" t="s">
        <v>358</v>
      </c>
      <c r="F72" s="333" t="s">
        <v>428</v>
      </c>
      <c r="G72" s="339">
        <v>611</v>
      </c>
      <c r="H72" s="328">
        <v>20.7</v>
      </c>
      <c r="I72" s="328"/>
      <c r="J72" s="328"/>
      <c r="K72" s="328"/>
      <c r="L72" s="328"/>
      <c r="M72" s="328"/>
      <c r="N72" s="328"/>
      <c r="O72" s="328"/>
      <c r="P72" s="328">
        <f t="shared" si="5"/>
        <v>0</v>
      </c>
      <c r="Q72" s="328">
        <f t="shared" si="3"/>
        <v>0</v>
      </c>
      <c r="R72" s="328">
        <f t="shared" si="4"/>
        <v>20.7</v>
      </c>
      <c r="S72" s="122"/>
    </row>
    <row r="73" spans="1:19" ht="35.1" hidden="1" customHeight="1" x14ac:dyDescent="0.25">
      <c r="A73" s="354"/>
      <c r="B73" s="346"/>
      <c r="C73" s="326"/>
      <c r="D73" s="177" t="s">
        <v>188</v>
      </c>
      <c r="E73" s="339" t="s">
        <v>358</v>
      </c>
      <c r="F73" s="333" t="s">
        <v>428</v>
      </c>
      <c r="G73" s="339">
        <v>621</v>
      </c>
      <c r="H73" s="328">
        <v>0</v>
      </c>
      <c r="I73" s="328"/>
      <c r="J73" s="328"/>
      <c r="K73" s="328"/>
      <c r="L73" s="328"/>
      <c r="M73" s="328"/>
      <c r="N73" s="328"/>
      <c r="O73" s="328"/>
      <c r="P73" s="328">
        <f t="shared" si="5"/>
        <v>0</v>
      </c>
      <c r="Q73" s="328">
        <f t="shared" si="3"/>
        <v>0</v>
      </c>
      <c r="R73" s="328">
        <f t="shared" si="4"/>
        <v>0</v>
      </c>
      <c r="S73" s="122"/>
    </row>
    <row r="74" spans="1:19" ht="35.1" hidden="1" customHeight="1" x14ac:dyDescent="0.25">
      <c r="A74" s="354"/>
      <c r="B74" s="346"/>
      <c r="C74" s="326"/>
      <c r="D74" s="177">
        <v>975</v>
      </c>
      <c r="E74" s="333" t="s">
        <v>358</v>
      </c>
      <c r="F74" s="333" t="s">
        <v>429</v>
      </c>
      <c r="G74" s="339">
        <v>611</v>
      </c>
      <c r="H74" s="328"/>
      <c r="I74" s="328"/>
      <c r="J74" s="328">
        <v>0</v>
      </c>
      <c r="K74" s="328"/>
      <c r="L74" s="328"/>
      <c r="M74" s="328"/>
      <c r="N74" s="328"/>
      <c r="O74" s="328"/>
      <c r="P74" s="328">
        <f t="shared" si="5"/>
        <v>0</v>
      </c>
      <c r="Q74" s="328">
        <f t="shared" si="3"/>
        <v>0</v>
      </c>
      <c r="R74" s="328">
        <f t="shared" si="4"/>
        <v>0</v>
      </c>
      <c r="S74" s="122"/>
    </row>
    <row r="75" spans="1:19" ht="35.1" customHeight="1" x14ac:dyDescent="0.25">
      <c r="A75" s="354"/>
      <c r="B75" s="346"/>
      <c r="C75" s="326"/>
      <c r="D75" s="177">
        <v>975</v>
      </c>
      <c r="E75" s="333" t="s">
        <v>358</v>
      </c>
      <c r="F75" s="333" t="s">
        <v>430</v>
      </c>
      <c r="G75" s="339">
        <v>611</v>
      </c>
      <c r="H75" s="328"/>
      <c r="I75" s="328"/>
      <c r="J75" s="328">
        <v>69.8</v>
      </c>
      <c r="K75" s="328"/>
      <c r="L75" s="328"/>
      <c r="M75" s="328"/>
      <c r="N75" s="328"/>
      <c r="O75" s="328"/>
      <c r="P75" s="328">
        <f t="shared" si="5"/>
        <v>0</v>
      </c>
      <c r="Q75" s="328">
        <f t="shared" si="3"/>
        <v>0</v>
      </c>
      <c r="R75" s="328">
        <f t="shared" si="4"/>
        <v>69.8</v>
      </c>
      <c r="S75" s="122"/>
    </row>
    <row r="76" spans="1:19" ht="35.1" customHeight="1" x14ac:dyDescent="0.25">
      <c r="A76" s="354"/>
      <c r="B76" s="346"/>
      <c r="C76" s="326"/>
      <c r="D76" s="177">
        <v>975</v>
      </c>
      <c r="E76" s="333" t="s">
        <v>358</v>
      </c>
      <c r="F76" s="333" t="s">
        <v>431</v>
      </c>
      <c r="G76" s="339">
        <v>611</v>
      </c>
      <c r="H76" s="328">
        <v>50.1</v>
      </c>
      <c r="I76" s="328">
        <v>30</v>
      </c>
      <c r="J76" s="328"/>
      <c r="K76" s="328"/>
      <c r="L76" s="328"/>
      <c r="M76" s="328"/>
      <c r="N76" s="328"/>
      <c r="O76" s="328"/>
      <c r="P76" s="328">
        <f t="shared" si="5"/>
        <v>0</v>
      </c>
      <c r="Q76" s="328">
        <f t="shared" si="3"/>
        <v>0</v>
      </c>
      <c r="R76" s="328">
        <f t="shared" si="4"/>
        <v>80.099999999999994</v>
      </c>
      <c r="S76" s="122"/>
    </row>
    <row r="77" spans="1:19" ht="35.1" customHeight="1" x14ac:dyDescent="0.25">
      <c r="A77" s="235"/>
      <c r="B77" s="332" t="s">
        <v>432</v>
      </c>
      <c r="C77" s="177"/>
      <c r="D77" s="177">
        <v>975</v>
      </c>
      <c r="E77" s="333" t="s">
        <v>433</v>
      </c>
      <c r="F77" s="333" t="s">
        <v>434</v>
      </c>
      <c r="G77" s="339">
        <v>611</v>
      </c>
      <c r="H77" s="328"/>
      <c r="I77" s="328"/>
      <c r="J77" s="328"/>
      <c r="K77" s="328"/>
      <c r="L77" s="328"/>
      <c r="M77" s="328"/>
      <c r="N77" s="328">
        <v>3984.1</v>
      </c>
      <c r="O77" s="328">
        <v>11952.3</v>
      </c>
      <c r="P77" s="328">
        <v>11952.3</v>
      </c>
      <c r="Q77" s="328">
        <f t="shared" si="3"/>
        <v>11952.3</v>
      </c>
      <c r="R77" s="328">
        <f t="shared" si="4"/>
        <v>39841</v>
      </c>
      <c r="S77" s="122"/>
    </row>
    <row r="78" spans="1:19" ht="35.1" customHeight="1" x14ac:dyDescent="0.25">
      <c r="A78" s="235"/>
      <c r="B78" s="336"/>
      <c r="C78" s="177"/>
      <c r="D78" s="177">
        <v>975</v>
      </c>
      <c r="E78" s="333" t="s">
        <v>433</v>
      </c>
      <c r="F78" s="333" t="s">
        <v>434</v>
      </c>
      <c r="G78" s="339">
        <v>621</v>
      </c>
      <c r="H78" s="328"/>
      <c r="I78" s="328"/>
      <c r="J78" s="328"/>
      <c r="K78" s="328"/>
      <c r="L78" s="328"/>
      <c r="M78" s="328"/>
      <c r="N78" s="328">
        <v>1210.9000000000001</v>
      </c>
      <c r="O78" s="328">
        <v>3632.6</v>
      </c>
      <c r="P78" s="328">
        <v>3632.6</v>
      </c>
      <c r="Q78" s="328">
        <f t="shared" si="3"/>
        <v>3632.6</v>
      </c>
      <c r="R78" s="328">
        <f t="shared" si="4"/>
        <v>12108.7</v>
      </c>
      <c r="S78" s="122"/>
    </row>
    <row r="79" spans="1:19" ht="35.1" customHeight="1" x14ac:dyDescent="0.25">
      <c r="A79" s="235"/>
      <c r="B79" s="338"/>
      <c r="C79" s="177"/>
      <c r="D79" s="177">
        <v>975</v>
      </c>
      <c r="E79" s="333" t="s">
        <v>433</v>
      </c>
      <c r="F79" s="333" t="s">
        <v>434</v>
      </c>
      <c r="G79" s="339">
        <v>870</v>
      </c>
      <c r="H79" s="328"/>
      <c r="I79" s="328"/>
      <c r="J79" s="328"/>
      <c r="K79" s="328"/>
      <c r="L79" s="328"/>
      <c r="M79" s="328"/>
      <c r="N79" s="328">
        <v>0</v>
      </c>
      <c r="O79" s="328">
        <v>937.5</v>
      </c>
      <c r="P79" s="328">
        <v>937.5</v>
      </c>
      <c r="Q79" s="328">
        <f t="shared" si="3"/>
        <v>937.5</v>
      </c>
      <c r="R79" s="328">
        <f t="shared" si="4"/>
        <v>2812.5</v>
      </c>
      <c r="S79" s="122"/>
    </row>
    <row r="80" spans="1:19" ht="35.1" customHeight="1" x14ac:dyDescent="0.25">
      <c r="A80" s="354" t="s">
        <v>63</v>
      </c>
      <c r="B80" s="346" t="s">
        <v>435</v>
      </c>
      <c r="C80" s="326"/>
      <c r="D80" s="177">
        <v>975</v>
      </c>
      <c r="E80" s="333" t="s">
        <v>358</v>
      </c>
      <c r="F80" s="333" t="s">
        <v>436</v>
      </c>
      <c r="G80" s="355" t="s">
        <v>437</v>
      </c>
      <c r="H80" s="328">
        <v>2069.1</v>
      </c>
      <c r="I80" s="328">
        <v>2048.5</v>
      </c>
      <c r="J80" s="328">
        <v>2159.8000000000002</v>
      </c>
      <c r="K80" s="328">
        <f>1921.59+580.31</f>
        <v>2501.8999999999996</v>
      </c>
      <c r="L80" s="328">
        <v>2453.9</v>
      </c>
      <c r="M80" s="328">
        <f>1245.3+32</f>
        <v>1277.3</v>
      </c>
      <c r="N80" s="328">
        <v>0</v>
      </c>
      <c r="O80" s="328">
        <v>0</v>
      </c>
      <c r="P80" s="328">
        <v>0</v>
      </c>
      <c r="Q80" s="328">
        <f t="shared" si="3"/>
        <v>0</v>
      </c>
      <c r="R80" s="328">
        <f t="shared" si="4"/>
        <v>12510.499999999998</v>
      </c>
      <c r="S80" s="122"/>
    </row>
    <row r="81" spans="1:19" ht="35.1" customHeight="1" x14ac:dyDescent="0.25">
      <c r="A81" s="354"/>
      <c r="B81" s="346"/>
      <c r="C81" s="326"/>
      <c r="D81" s="177">
        <v>975</v>
      </c>
      <c r="E81" s="333" t="s">
        <v>358</v>
      </c>
      <c r="F81" s="333" t="s">
        <v>436</v>
      </c>
      <c r="G81" s="339">
        <v>244</v>
      </c>
      <c r="H81" s="328">
        <v>48</v>
      </c>
      <c r="I81" s="328">
        <v>49.5</v>
      </c>
      <c r="J81" s="328">
        <v>152</v>
      </c>
      <c r="K81" s="328">
        <v>194.7</v>
      </c>
      <c r="L81" s="328">
        <v>150.69999999999999</v>
      </c>
      <c r="M81" s="328">
        <v>117.6</v>
      </c>
      <c r="N81" s="328">
        <v>0</v>
      </c>
      <c r="O81" s="328">
        <v>0</v>
      </c>
      <c r="P81" s="328">
        <v>0</v>
      </c>
      <c r="Q81" s="328">
        <f t="shared" si="3"/>
        <v>0</v>
      </c>
      <c r="R81" s="328">
        <f t="shared" si="4"/>
        <v>712.5</v>
      </c>
      <c r="S81" s="122"/>
    </row>
    <row r="82" spans="1:19" ht="35.1" customHeight="1" x14ac:dyDescent="0.25">
      <c r="A82" s="354"/>
      <c r="B82" s="346"/>
      <c r="C82" s="326"/>
      <c r="D82" s="177">
        <v>975</v>
      </c>
      <c r="E82" s="333" t="s">
        <v>358</v>
      </c>
      <c r="F82" s="333" t="s">
        <v>436</v>
      </c>
      <c r="G82" s="339">
        <v>611</v>
      </c>
      <c r="H82" s="328">
        <v>69419.8</v>
      </c>
      <c r="I82" s="328">
        <v>74727.600000000006</v>
      </c>
      <c r="J82" s="328">
        <v>75371.399999999994</v>
      </c>
      <c r="K82" s="328">
        <v>82441.7</v>
      </c>
      <c r="L82" s="328">
        <v>87113.3</v>
      </c>
      <c r="M82" s="328">
        <v>84914.7</v>
      </c>
      <c r="N82" s="328">
        <v>94080.1</v>
      </c>
      <c r="O82" s="334">
        <v>96227.5</v>
      </c>
      <c r="P82" s="328">
        <v>96393.5</v>
      </c>
      <c r="Q82" s="328">
        <f t="shared" si="3"/>
        <v>96393.5</v>
      </c>
      <c r="R82" s="328">
        <f t="shared" si="4"/>
        <v>857083.1</v>
      </c>
      <c r="S82" s="122"/>
    </row>
    <row r="83" spans="1:19" ht="35.1" customHeight="1" x14ac:dyDescent="0.25">
      <c r="A83" s="354"/>
      <c r="B83" s="346"/>
      <c r="C83" s="326"/>
      <c r="D83" s="177">
        <v>975</v>
      </c>
      <c r="E83" s="333" t="s">
        <v>433</v>
      </c>
      <c r="F83" s="333" t="s">
        <v>436</v>
      </c>
      <c r="G83" s="339">
        <v>611</v>
      </c>
      <c r="H83" s="328"/>
      <c r="I83" s="328"/>
      <c r="J83" s="328"/>
      <c r="K83" s="328"/>
      <c r="L83" s="328"/>
      <c r="M83" s="328">
        <v>10565.4</v>
      </c>
      <c r="N83" s="328">
        <v>11184.2</v>
      </c>
      <c r="O83" s="334">
        <v>13320.3</v>
      </c>
      <c r="P83" s="328">
        <v>14548.9</v>
      </c>
      <c r="Q83" s="328">
        <f t="shared" si="3"/>
        <v>14548.9</v>
      </c>
      <c r="R83" s="328">
        <f t="shared" si="4"/>
        <v>64167.7</v>
      </c>
      <c r="S83" s="122"/>
    </row>
    <row r="84" spans="1:19" ht="35.1" customHeight="1" x14ac:dyDescent="0.25">
      <c r="A84" s="354"/>
      <c r="B84" s="346"/>
      <c r="C84" s="326"/>
      <c r="D84" s="177">
        <v>975</v>
      </c>
      <c r="E84" s="333" t="s">
        <v>358</v>
      </c>
      <c r="F84" s="333" t="s">
        <v>436</v>
      </c>
      <c r="G84" s="339">
        <v>612</v>
      </c>
      <c r="H84" s="328">
        <v>1060.3</v>
      </c>
      <c r="I84" s="328">
        <v>685.7</v>
      </c>
      <c r="J84" s="328">
        <v>3330.5</v>
      </c>
      <c r="K84" s="328">
        <v>4576</v>
      </c>
      <c r="L84" s="328">
        <v>4798.1000000000004</v>
      </c>
      <c r="M84" s="328">
        <v>4598.3999999999996</v>
      </c>
      <c r="N84" s="328">
        <v>0</v>
      </c>
      <c r="O84" s="328">
        <v>0</v>
      </c>
      <c r="P84" s="328">
        <v>0</v>
      </c>
      <c r="Q84" s="328">
        <f t="shared" si="3"/>
        <v>0</v>
      </c>
      <c r="R84" s="328">
        <f t="shared" si="4"/>
        <v>19049</v>
      </c>
      <c r="S84" s="122"/>
    </row>
    <row r="85" spans="1:19" ht="35.1" customHeight="1" x14ac:dyDescent="0.25">
      <c r="A85" s="354"/>
      <c r="B85" s="346"/>
      <c r="C85" s="326"/>
      <c r="D85" s="177">
        <v>975</v>
      </c>
      <c r="E85" s="333" t="s">
        <v>358</v>
      </c>
      <c r="F85" s="333" t="s">
        <v>436</v>
      </c>
      <c r="G85" s="339">
        <v>621</v>
      </c>
      <c r="H85" s="328">
        <v>28912.7</v>
      </c>
      <c r="I85" s="328">
        <v>29234.2</v>
      </c>
      <c r="J85" s="328">
        <v>29412</v>
      </c>
      <c r="K85" s="328">
        <v>31346.1</v>
      </c>
      <c r="L85" s="328">
        <v>32415.7</v>
      </c>
      <c r="M85" s="328">
        <v>31196.1</v>
      </c>
      <c r="N85" s="328">
        <v>32462.1</v>
      </c>
      <c r="O85" s="334">
        <v>31596.2</v>
      </c>
      <c r="P85" s="328">
        <v>31754.7</v>
      </c>
      <c r="Q85" s="328">
        <f t="shared" si="3"/>
        <v>31754.7</v>
      </c>
      <c r="R85" s="328">
        <f t="shared" si="4"/>
        <v>310084.50000000006</v>
      </c>
      <c r="S85" s="122"/>
    </row>
    <row r="86" spans="1:19" ht="35.1" customHeight="1" x14ac:dyDescent="0.25">
      <c r="A86" s="354"/>
      <c r="B86" s="346"/>
      <c r="C86" s="326"/>
      <c r="D86" s="177">
        <v>975</v>
      </c>
      <c r="E86" s="333" t="s">
        <v>433</v>
      </c>
      <c r="F86" s="333" t="s">
        <v>436</v>
      </c>
      <c r="G86" s="339">
        <v>621</v>
      </c>
      <c r="H86" s="328"/>
      <c r="I86" s="328"/>
      <c r="J86" s="328"/>
      <c r="K86" s="328"/>
      <c r="L86" s="328"/>
      <c r="M86" s="328">
        <v>4913.8</v>
      </c>
      <c r="N86" s="328">
        <v>4838.5</v>
      </c>
      <c r="O86" s="334">
        <v>4961.3</v>
      </c>
      <c r="P86" s="328">
        <v>5440.1</v>
      </c>
      <c r="Q86" s="328">
        <f t="shared" si="3"/>
        <v>5440.1</v>
      </c>
      <c r="R86" s="328">
        <f t="shared" si="4"/>
        <v>25593.799999999996</v>
      </c>
      <c r="S86" s="122"/>
    </row>
    <row r="87" spans="1:19" ht="35.1" customHeight="1" x14ac:dyDescent="0.25">
      <c r="A87" s="354"/>
      <c r="B87" s="346"/>
      <c r="C87" s="326"/>
      <c r="D87" s="177">
        <v>975</v>
      </c>
      <c r="E87" s="333" t="s">
        <v>358</v>
      </c>
      <c r="F87" s="333" t="s">
        <v>436</v>
      </c>
      <c r="G87" s="339">
        <v>622</v>
      </c>
      <c r="H87" s="328">
        <v>348.3</v>
      </c>
      <c r="I87" s="328">
        <v>360.9</v>
      </c>
      <c r="J87" s="328">
        <v>1248.9000000000001</v>
      </c>
      <c r="K87" s="328">
        <v>1661.6</v>
      </c>
      <c r="L87" s="328">
        <v>1917.9</v>
      </c>
      <c r="M87" s="328">
        <v>1604.6</v>
      </c>
      <c r="N87" s="328">
        <v>0</v>
      </c>
      <c r="O87" s="328">
        <v>0</v>
      </c>
      <c r="P87" s="328">
        <v>0</v>
      </c>
      <c r="Q87" s="328">
        <f t="shared" si="3"/>
        <v>0</v>
      </c>
      <c r="R87" s="328">
        <f t="shared" si="4"/>
        <v>7142.2000000000007</v>
      </c>
      <c r="S87" s="122"/>
    </row>
    <row r="88" spans="1:19" ht="35.1" customHeight="1" x14ac:dyDescent="0.25">
      <c r="A88" s="354"/>
      <c r="B88" s="346"/>
      <c r="C88" s="326"/>
      <c r="D88" s="177">
        <v>975</v>
      </c>
      <c r="E88" s="333" t="s">
        <v>358</v>
      </c>
      <c r="F88" s="333" t="s">
        <v>436</v>
      </c>
      <c r="G88" s="339">
        <v>870</v>
      </c>
      <c r="H88" s="328"/>
      <c r="I88" s="328"/>
      <c r="J88" s="328"/>
      <c r="K88" s="328">
        <v>1355.7</v>
      </c>
      <c r="L88" s="328"/>
      <c r="M88" s="328"/>
      <c r="N88" s="328"/>
      <c r="O88" s="328">
        <v>0.1</v>
      </c>
      <c r="P88" s="328">
        <v>557.79999999999995</v>
      </c>
      <c r="Q88" s="328">
        <f t="shared" si="3"/>
        <v>557.79999999999995</v>
      </c>
      <c r="R88" s="328">
        <f t="shared" si="4"/>
        <v>2471.3999999999996</v>
      </c>
      <c r="S88" s="122"/>
    </row>
    <row r="89" spans="1:19" ht="35.1" customHeight="1" x14ac:dyDescent="0.25">
      <c r="A89" s="354"/>
      <c r="B89" s="346"/>
      <c r="C89" s="326"/>
      <c r="D89" s="177">
        <v>975</v>
      </c>
      <c r="E89" s="333" t="s">
        <v>358</v>
      </c>
      <c r="F89" s="333" t="s">
        <v>438</v>
      </c>
      <c r="G89" s="339">
        <v>110</v>
      </c>
      <c r="H89" s="328">
        <v>19.7</v>
      </c>
      <c r="I89" s="328"/>
      <c r="J89" s="328"/>
      <c r="K89" s="328"/>
      <c r="L89" s="328"/>
      <c r="M89" s="328"/>
      <c r="N89" s="328"/>
      <c r="O89" s="328"/>
      <c r="P89" s="328">
        <f>O89</f>
        <v>0</v>
      </c>
      <c r="Q89" s="328">
        <f t="shared" si="3"/>
        <v>0</v>
      </c>
      <c r="R89" s="328">
        <f t="shared" si="4"/>
        <v>19.7</v>
      </c>
      <c r="S89" s="122"/>
    </row>
    <row r="90" spans="1:19" ht="35.1" customHeight="1" x14ac:dyDescent="0.25">
      <c r="A90" s="354"/>
      <c r="B90" s="346"/>
      <c r="C90" s="326"/>
      <c r="D90" s="177">
        <v>975</v>
      </c>
      <c r="E90" s="333" t="s">
        <v>358</v>
      </c>
      <c r="F90" s="333" t="s">
        <v>439</v>
      </c>
      <c r="G90" s="339">
        <v>110</v>
      </c>
      <c r="H90" s="328"/>
      <c r="I90" s="328"/>
      <c r="J90" s="328">
        <v>911.7</v>
      </c>
      <c r="K90" s="328">
        <v>908.9</v>
      </c>
      <c r="L90" s="328">
        <f>724.5+218.8</f>
        <v>943.3</v>
      </c>
      <c r="M90" s="328">
        <v>456.8</v>
      </c>
      <c r="N90" s="328">
        <v>0</v>
      </c>
      <c r="O90" s="328">
        <v>0</v>
      </c>
      <c r="P90" s="328">
        <v>0</v>
      </c>
      <c r="Q90" s="328">
        <f t="shared" si="3"/>
        <v>0</v>
      </c>
      <c r="R90" s="328">
        <f t="shared" si="4"/>
        <v>3220.7</v>
      </c>
      <c r="S90" s="122"/>
    </row>
    <row r="91" spans="1:19" ht="35.1" customHeight="1" x14ac:dyDescent="0.25">
      <c r="A91" s="354"/>
      <c r="B91" s="346"/>
      <c r="C91" s="326"/>
      <c r="D91" s="177">
        <v>975</v>
      </c>
      <c r="E91" s="333" t="s">
        <v>358</v>
      </c>
      <c r="F91" s="333" t="s">
        <v>439</v>
      </c>
      <c r="G91" s="339">
        <v>240</v>
      </c>
      <c r="H91" s="328"/>
      <c r="I91" s="328"/>
      <c r="J91" s="328">
        <v>17.5</v>
      </c>
      <c r="K91" s="328">
        <v>20.2</v>
      </c>
      <c r="L91" s="328">
        <v>20.2</v>
      </c>
      <c r="M91" s="328">
        <v>13.9</v>
      </c>
      <c r="N91" s="328">
        <v>0</v>
      </c>
      <c r="O91" s="328">
        <v>0</v>
      </c>
      <c r="P91" s="328">
        <v>0</v>
      </c>
      <c r="Q91" s="328">
        <f t="shared" si="3"/>
        <v>0</v>
      </c>
      <c r="R91" s="328">
        <f t="shared" si="4"/>
        <v>71.800000000000011</v>
      </c>
      <c r="S91" s="122"/>
    </row>
    <row r="92" spans="1:19" ht="35.1" customHeight="1" x14ac:dyDescent="0.25">
      <c r="A92" s="354"/>
      <c r="B92" s="346"/>
      <c r="C92" s="326"/>
      <c r="D92" s="177">
        <v>975</v>
      </c>
      <c r="E92" s="333" t="s">
        <v>358</v>
      </c>
      <c r="F92" s="333" t="s">
        <v>439</v>
      </c>
      <c r="G92" s="339">
        <v>611</v>
      </c>
      <c r="H92" s="328"/>
      <c r="I92" s="328"/>
      <c r="J92" s="328">
        <v>19514.400000000001</v>
      </c>
      <c r="K92" s="328">
        <v>19413.400000000001</v>
      </c>
      <c r="L92" s="328">
        <v>20229.8</v>
      </c>
      <c r="M92" s="328">
        <v>22664.400000000001</v>
      </c>
      <c r="N92" s="328">
        <v>26332.400000000001</v>
      </c>
      <c r="O92" s="328">
        <f>28125.5+1.5</f>
        <v>28127</v>
      </c>
      <c r="P92" s="328">
        <f>28072.5+3.1</f>
        <v>28075.599999999999</v>
      </c>
      <c r="Q92" s="328">
        <f>P92+20.8</f>
        <v>28096.399999999998</v>
      </c>
      <c r="R92" s="328">
        <f t="shared" si="4"/>
        <v>192453.4</v>
      </c>
      <c r="S92" s="122"/>
    </row>
    <row r="93" spans="1:19" ht="35.1" customHeight="1" x14ac:dyDescent="0.25">
      <c r="A93" s="354"/>
      <c r="B93" s="346"/>
      <c r="C93" s="326"/>
      <c r="D93" s="177">
        <v>975</v>
      </c>
      <c r="E93" s="333" t="s">
        <v>358</v>
      </c>
      <c r="F93" s="333" t="s">
        <v>439</v>
      </c>
      <c r="G93" s="339">
        <v>612</v>
      </c>
      <c r="H93" s="328"/>
      <c r="I93" s="328"/>
      <c r="J93" s="328"/>
      <c r="K93" s="328">
        <v>119</v>
      </c>
      <c r="L93" s="328">
        <v>113</v>
      </c>
      <c r="M93" s="328">
        <v>118</v>
      </c>
      <c r="N93" s="328">
        <v>0</v>
      </c>
      <c r="O93" s="328">
        <v>0</v>
      </c>
      <c r="P93" s="328">
        <v>0</v>
      </c>
      <c r="Q93" s="328">
        <f t="shared" si="3"/>
        <v>0</v>
      </c>
      <c r="R93" s="328">
        <f t="shared" si="4"/>
        <v>350</v>
      </c>
      <c r="S93" s="122"/>
    </row>
    <row r="94" spans="1:19" ht="35.1" customHeight="1" x14ac:dyDescent="0.25">
      <c r="A94" s="354"/>
      <c r="B94" s="346"/>
      <c r="C94" s="326"/>
      <c r="D94" s="177">
        <v>975</v>
      </c>
      <c r="E94" s="333" t="s">
        <v>358</v>
      </c>
      <c r="F94" s="333" t="s">
        <v>439</v>
      </c>
      <c r="G94" s="339">
        <v>621</v>
      </c>
      <c r="H94" s="328"/>
      <c r="I94" s="328"/>
      <c r="J94" s="328">
        <v>9019.2000000000007</v>
      </c>
      <c r="K94" s="328">
        <v>9035.1</v>
      </c>
      <c r="L94" s="328">
        <v>9369.2999999999993</v>
      </c>
      <c r="M94" s="328">
        <v>7901</v>
      </c>
      <c r="N94" s="328">
        <v>8696.1</v>
      </c>
      <c r="O94" s="328">
        <v>9281.1</v>
      </c>
      <c r="P94" s="328">
        <v>9281.1</v>
      </c>
      <c r="Q94" s="328">
        <f t="shared" si="3"/>
        <v>9281.1</v>
      </c>
      <c r="R94" s="328">
        <f t="shared" si="4"/>
        <v>71864</v>
      </c>
      <c r="S94" s="122"/>
    </row>
    <row r="95" spans="1:19" ht="52.15" customHeight="1" x14ac:dyDescent="0.25">
      <c r="A95" s="354"/>
      <c r="B95" s="346"/>
      <c r="C95" s="326"/>
      <c r="D95" s="177">
        <v>975</v>
      </c>
      <c r="E95" s="333" t="s">
        <v>358</v>
      </c>
      <c r="F95" s="333" t="s">
        <v>440</v>
      </c>
      <c r="G95" s="339">
        <v>621</v>
      </c>
      <c r="H95" s="328"/>
      <c r="I95" s="328"/>
      <c r="J95" s="328"/>
      <c r="K95" s="328"/>
      <c r="L95" s="328">
        <v>162.80000000000001</v>
      </c>
      <c r="M95" s="328">
        <v>48.8</v>
      </c>
      <c r="N95" s="328">
        <v>2.8</v>
      </c>
      <c r="O95" s="328">
        <v>0</v>
      </c>
      <c r="P95" s="328">
        <f>O95</f>
        <v>0</v>
      </c>
      <c r="Q95" s="328">
        <f t="shared" si="3"/>
        <v>0</v>
      </c>
      <c r="R95" s="328">
        <f t="shared" si="4"/>
        <v>214.40000000000003</v>
      </c>
      <c r="S95" s="122"/>
    </row>
    <row r="96" spans="1:19" ht="60.6" customHeight="1" x14ac:dyDescent="0.25">
      <c r="A96" s="354"/>
      <c r="B96" s="346"/>
      <c r="C96" s="326"/>
      <c r="D96" s="177">
        <v>975</v>
      </c>
      <c r="E96" s="333" t="s">
        <v>358</v>
      </c>
      <c r="F96" s="333" t="s">
        <v>441</v>
      </c>
      <c r="G96" s="339">
        <v>611</v>
      </c>
      <c r="H96" s="328"/>
      <c r="I96" s="328"/>
      <c r="J96" s="328"/>
      <c r="K96" s="328"/>
      <c r="L96" s="328">
        <v>329.3</v>
      </c>
      <c r="M96" s="328">
        <v>15</v>
      </c>
      <c r="N96" s="328">
        <v>1834.2</v>
      </c>
      <c r="O96" s="328">
        <v>0</v>
      </c>
      <c r="P96" s="328">
        <f>O96</f>
        <v>0</v>
      </c>
      <c r="Q96" s="328">
        <f t="shared" si="3"/>
        <v>0</v>
      </c>
      <c r="R96" s="328">
        <f t="shared" si="4"/>
        <v>2178.5</v>
      </c>
      <c r="S96" s="122"/>
    </row>
    <row r="97" spans="1:22" ht="35.1" customHeight="1" x14ac:dyDescent="0.25">
      <c r="A97" s="354"/>
      <c r="B97" s="346"/>
      <c r="C97" s="326"/>
      <c r="D97" s="177">
        <v>975</v>
      </c>
      <c r="E97" s="333" t="s">
        <v>358</v>
      </c>
      <c r="F97" s="333" t="s">
        <v>442</v>
      </c>
      <c r="G97" s="339">
        <v>611</v>
      </c>
      <c r="H97" s="328"/>
      <c r="I97" s="328"/>
      <c r="J97" s="328"/>
      <c r="K97" s="328"/>
      <c r="L97" s="328"/>
      <c r="M97" s="328">
        <v>116.5</v>
      </c>
      <c r="N97" s="328"/>
      <c r="O97" s="328"/>
      <c r="P97" s="328"/>
      <c r="Q97" s="328">
        <f t="shared" si="3"/>
        <v>0</v>
      </c>
      <c r="R97" s="328">
        <f t="shared" si="4"/>
        <v>116.5</v>
      </c>
      <c r="S97" s="122"/>
    </row>
    <row r="98" spans="1:22" ht="35.1" customHeight="1" x14ac:dyDescent="0.25">
      <c r="A98" s="354"/>
      <c r="B98" s="346"/>
      <c r="C98" s="326"/>
      <c r="D98" s="177">
        <v>975</v>
      </c>
      <c r="E98" s="333" t="s">
        <v>358</v>
      </c>
      <c r="F98" s="333" t="s">
        <v>442</v>
      </c>
      <c r="G98" s="339">
        <v>621</v>
      </c>
      <c r="H98" s="328"/>
      <c r="I98" s="328"/>
      <c r="J98" s="328"/>
      <c r="K98" s="328"/>
      <c r="L98" s="328"/>
      <c r="M98" s="328">
        <v>3.6</v>
      </c>
      <c r="N98" s="328"/>
      <c r="O98" s="328"/>
      <c r="P98" s="328"/>
      <c r="Q98" s="328">
        <f t="shared" si="3"/>
        <v>0</v>
      </c>
      <c r="R98" s="328">
        <f t="shared" si="4"/>
        <v>3.6</v>
      </c>
      <c r="S98" s="122"/>
    </row>
    <row r="99" spans="1:22" ht="35.1" customHeight="1" x14ac:dyDescent="0.25">
      <c r="A99" s="354"/>
      <c r="B99" s="346"/>
      <c r="C99" s="326"/>
      <c r="D99" s="177">
        <v>975</v>
      </c>
      <c r="E99" s="333" t="s">
        <v>358</v>
      </c>
      <c r="F99" s="333" t="s">
        <v>443</v>
      </c>
      <c r="G99" s="339">
        <v>611</v>
      </c>
      <c r="H99" s="328"/>
      <c r="I99" s="328"/>
      <c r="J99" s="328"/>
      <c r="K99" s="328"/>
      <c r="L99" s="328"/>
      <c r="M99" s="328"/>
      <c r="N99" s="328">
        <v>73.400000000000006</v>
      </c>
      <c r="O99" s="328"/>
      <c r="P99" s="328"/>
      <c r="Q99" s="328">
        <f t="shared" si="3"/>
        <v>0</v>
      </c>
      <c r="R99" s="328">
        <f t="shared" si="4"/>
        <v>73.400000000000006</v>
      </c>
      <c r="S99" s="122"/>
    </row>
    <row r="100" spans="1:22" ht="35.1" customHeight="1" x14ac:dyDescent="0.25">
      <c r="A100" s="354"/>
      <c r="B100" s="346"/>
      <c r="C100" s="326"/>
      <c r="D100" s="177">
        <v>975</v>
      </c>
      <c r="E100" s="333" t="s">
        <v>358</v>
      </c>
      <c r="F100" s="333" t="s">
        <v>443</v>
      </c>
      <c r="G100" s="339">
        <v>621</v>
      </c>
      <c r="H100" s="328"/>
      <c r="I100" s="328"/>
      <c r="J100" s="328"/>
      <c r="K100" s="328"/>
      <c r="L100" s="328"/>
      <c r="M100" s="328"/>
      <c r="N100" s="328">
        <v>59</v>
      </c>
      <c r="O100" s="328"/>
      <c r="P100" s="328"/>
      <c r="Q100" s="328">
        <f t="shared" si="3"/>
        <v>0</v>
      </c>
      <c r="R100" s="328">
        <f t="shared" si="4"/>
        <v>59</v>
      </c>
      <c r="S100" s="122"/>
    </row>
    <row r="101" spans="1:22" ht="35.1" customHeight="1" x14ac:dyDescent="0.25">
      <c r="A101" s="354"/>
      <c r="B101" s="346"/>
      <c r="C101" s="326"/>
      <c r="D101" s="177">
        <v>975</v>
      </c>
      <c r="E101" s="333" t="s">
        <v>358</v>
      </c>
      <c r="F101" s="333" t="s">
        <v>444</v>
      </c>
      <c r="G101" s="339">
        <v>110</v>
      </c>
      <c r="H101" s="328"/>
      <c r="I101" s="328"/>
      <c r="J101" s="328"/>
      <c r="K101" s="328"/>
      <c r="L101" s="328">
        <v>460.4</v>
      </c>
      <c r="M101" s="328"/>
      <c r="N101" s="328"/>
      <c r="O101" s="328"/>
      <c r="P101" s="328">
        <f>O101</f>
        <v>0</v>
      </c>
      <c r="Q101" s="328">
        <f t="shared" si="3"/>
        <v>0</v>
      </c>
      <c r="R101" s="328">
        <f t="shared" si="4"/>
        <v>460.4</v>
      </c>
      <c r="S101" s="122"/>
    </row>
    <row r="102" spans="1:22" ht="35.1" customHeight="1" x14ac:dyDescent="0.25">
      <c r="A102" s="354"/>
      <c r="B102" s="346"/>
      <c r="C102" s="326"/>
      <c r="D102" s="177">
        <v>975</v>
      </c>
      <c r="E102" s="333" t="s">
        <v>358</v>
      </c>
      <c r="F102" s="333" t="s">
        <v>439</v>
      </c>
      <c r="G102" s="339">
        <v>870</v>
      </c>
      <c r="H102" s="328"/>
      <c r="I102" s="328"/>
      <c r="J102" s="328"/>
      <c r="K102" s="328"/>
      <c r="L102" s="328"/>
      <c r="M102" s="328"/>
      <c r="N102" s="328"/>
      <c r="O102" s="328"/>
      <c r="P102" s="328">
        <f>O102</f>
        <v>0</v>
      </c>
      <c r="Q102" s="328">
        <f t="shared" si="3"/>
        <v>0</v>
      </c>
      <c r="R102" s="328">
        <f t="shared" si="4"/>
        <v>0</v>
      </c>
      <c r="S102" s="122"/>
    </row>
    <row r="103" spans="1:22" ht="35.1" customHeight="1" x14ac:dyDescent="0.25">
      <c r="A103" s="354"/>
      <c r="B103" s="346"/>
      <c r="C103" s="326"/>
      <c r="D103" s="177">
        <v>975</v>
      </c>
      <c r="E103" s="333" t="s">
        <v>358</v>
      </c>
      <c r="F103" s="333" t="s">
        <v>438</v>
      </c>
      <c r="G103" s="339">
        <v>611</v>
      </c>
      <c r="H103" s="328">
        <v>77</v>
      </c>
      <c r="I103" s="328"/>
      <c r="J103" s="328"/>
      <c r="K103" s="328"/>
      <c r="L103" s="328"/>
      <c r="M103" s="328"/>
      <c r="N103" s="328"/>
      <c r="O103" s="328"/>
      <c r="P103" s="328">
        <f>O103</f>
        <v>0</v>
      </c>
      <c r="Q103" s="328">
        <f t="shared" si="3"/>
        <v>0</v>
      </c>
      <c r="R103" s="328">
        <f t="shared" si="4"/>
        <v>77</v>
      </c>
      <c r="S103" s="122"/>
    </row>
    <row r="104" spans="1:22" ht="69.75" customHeight="1" x14ac:dyDescent="0.25">
      <c r="A104" s="356" t="s">
        <v>65</v>
      </c>
      <c r="B104" s="344" t="s">
        <v>445</v>
      </c>
      <c r="C104" s="177" t="s">
        <v>187</v>
      </c>
      <c r="D104" s="333" t="s">
        <v>188</v>
      </c>
      <c r="E104" s="333" t="s">
        <v>358</v>
      </c>
      <c r="F104" s="177" t="s">
        <v>185</v>
      </c>
      <c r="G104" s="177" t="s">
        <v>185</v>
      </c>
      <c r="H104" s="153">
        <v>777.6</v>
      </c>
      <c r="I104" s="153">
        <v>532.1</v>
      </c>
      <c r="J104" s="153">
        <v>1013.8</v>
      </c>
      <c r="K104" s="153">
        <v>1013.8</v>
      </c>
      <c r="L104" s="153">
        <f>201+878</f>
        <v>1079</v>
      </c>
      <c r="M104" s="153">
        <f>772.8+3490.5</f>
        <v>4263.3</v>
      </c>
      <c r="N104" s="153">
        <f>802.1+5384</f>
        <v>6186.1</v>
      </c>
      <c r="O104" s="357">
        <f>1064.3+521.4</f>
        <v>1585.6999999999998</v>
      </c>
      <c r="P104" s="153">
        <v>1442.7</v>
      </c>
      <c r="Q104" s="328">
        <f t="shared" si="3"/>
        <v>1442.7</v>
      </c>
      <c r="R104" s="328">
        <f t="shared" si="4"/>
        <v>19336.800000000003</v>
      </c>
      <c r="S104" s="122"/>
      <c r="U104" s="358">
        <f>O111+O53</f>
        <v>297480.7</v>
      </c>
      <c r="V104" s="359">
        <f>U104/3290</f>
        <v>90.419665653495443</v>
      </c>
    </row>
    <row r="105" spans="1:22" ht="75" hidden="1" customHeight="1" x14ac:dyDescent="0.25">
      <c r="A105" s="360" t="s">
        <v>63</v>
      </c>
      <c r="B105" s="361" t="s">
        <v>446</v>
      </c>
      <c r="C105" s="361" t="s">
        <v>187</v>
      </c>
      <c r="D105" s="362" t="s">
        <v>188</v>
      </c>
      <c r="E105" s="362" t="s">
        <v>358</v>
      </c>
      <c r="F105" s="362" t="s">
        <v>185</v>
      </c>
      <c r="G105" s="361" t="s">
        <v>185</v>
      </c>
      <c r="H105" s="363">
        <v>0</v>
      </c>
      <c r="I105" s="363">
        <v>0</v>
      </c>
      <c r="J105" s="363">
        <v>0</v>
      </c>
      <c r="K105" s="363"/>
      <c r="L105" s="363"/>
      <c r="M105" s="363"/>
      <c r="N105" s="363"/>
      <c r="O105" s="363"/>
      <c r="P105" s="328">
        <f t="shared" ref="P105:P110" si="6">O105</f>
        <v>0</v>
      </c>
      <c r="Q105" s="328">
        <f t="shared" si="3"/>
        <v>0</v>
      </c>
      <c r="R105" s="328">
        <f t="shared" si="4"/>
        <v>0</v>
      </c>
      <c r="S105" s="16" t="s">
        <v>447</v>
      </c>
      <c r="T105" s="4">
        <v>2</v>
      </c>
    </row>
    <row r="106" spans="1:22" ht="134.25" hidden="1" customHeight="1" x14ac:dyDescent="0.25">
      <c r="A106" s="360" t="s">
        <v>65</v>
      </c>
      <c r="B106" s="344" t="s">
        <v>448</v>
      </c>
      <c r="C106" s="177" t="s">
        <v>187</v>
      </c>
      <c r="D106" s="360" t="s">
        <v>188</v>
      </c>
      <c r="E106" s="360" t="s">
        <v>449</v>
      </c>
      <c r="F106" s="360" t="s">
        <v>185</v>
      </c>
      <c r="G106" s="177" t="s">
        <v>185</v>
      </c>
      <c r="H106" s="153">
        <v>0</v>
      </c>
      <c r="I106" s="153">
        <v>0</v>
      </c>
      <c r="J106" s="153">
        <v>0</v>
      </c>
      <c r="K106" s="153"/>
      <c r="L106" s="153"/>
      <c r="M106" s="153"/>
      <c r="N106" s="153"/>
      <c r="O106" s="153"/>
      <c r="P106" s="328">
        <f t="shared" si="6"/>
        <v>0</v>
      </c>
      <c r="Q106" s="328">
        <f t="shared" si="3"/>
        <v>0</v>
      </c>
      <c r="R106" s="328">
        <f t="shared" si="4"/>
        <v>0</v>
      </c>
      <c r="S106" s="16" t="s">
        <v>450</v>
      </c>
    </row>
    <row r="107" spans="1:22" ht="72.75" hidden="1" customHeight="1" x14ac:dyDescent="0.25">
      <c r="A107" s="360" t="s">
        <v>67</v>
      </c>
      <c r="B107" s="177" t="s">
        <v>451</v>
      </c>
      <c r="C107" s="177" t="s">
        <v>187</v>
      </c>
      <c r="D107" s="360" t="s">
        <v>188</v>
      </c>
      <c r="E107" s="360" t="s">
        <v>449</v>
      </c>
      <c r="F107" s="360" t="s">
        <v>185</v>
      </c>
      <c r="G107" s="177" t="s">
        <v>185</v>
      </c>
      <c r="H107" s="153">
        <v>0</v>
      </c>
      <c r="I107" s="153">
        <v>0</v>
      </c>
      <c r="J107" s="153">
        <v>0</v>
      </c>
      <c r="K107" s="363"/>
      <c r="L107" s="363"/>
      <c r="M107" s="363"/>
      <c r="N107" s="363"/>
      <c r="O107" s="363"/>
      <c r="P107" s="328">
        <f t="shared" si="6"/>
        <v>0</v>
      </c>
      <c r="Q107" s="328">
        <f t="shared" si="3"/>
        <v>0</v>
      </c>
      <c r="R107" s="328">
        <f t="shared" si="4"/>
        <v>0</v>
      </c>
      <c r="S107" s="364" t="s">
        <v>452</v>
      </c>
    </row>
    <row r="108" spans="1:22" ht="78" hidden="1" customHeight="1" x14ac:dyDescent="0.25">
      <c r="A108" s="365"/>
      <c r="B108" s="177" t="s">
        <v>453</v>
      </c>
      <c r="C108" s="177" t="s">
        <v>187</v>
      </c>
      <c r="D108" s="360"/>
      <c r="E108" s="360"/>
      <c r="F108" s="360"/>
      <c r="G108" s="177" t="s">
        <v>185</v>
      </c>
      <c r="H108" s="328"/>
      <c r="I108" s="328"/>
      <c r="J108" s="153"/>
      <c r="K108" s="153"/>
      <c r="L108" s="153"/>
      <c r="M108" s="153"/>
      <c r="N108" s="153"/>
      <c r="O108" s="153"/>
      <c r="P108" s="328">
        <f t="shared" si="6"/>
        <v>0</v>
      </c>
      <c r="Q108" s="328">
        <f t="shared" si="3"/>
        <v>0</v>
      </c>
      <c r="R108" s="328">
        <f t="shared" si="4"/>
        <v>0</v>
      </c>
      <c r="S108" s="16" t="s">
        <v>454</v>
      </c>
      <c r="T108" s="366" t="s">
        <v>455</v>
      </c>
      <c r="U108" s="367" t="s">
        <v>456</v>
      </c>
      <c r="V108" s="2" t="s">
        <v>457</v>
      </c>
    </row>
    <row r="109" spans="1:22" ht="86.25" hidden="1" customHeight="1" x14ac:dyDescent="0.25">
      <c r="A109" s="365" t="s">
        <v>69</v>
      </c>
      <c r="B109" s="177" t="s">
        <v>458</v>
      </c>
      <c r="C109" s="177" t="s">
        <v>459</v>
      </c>
      <c r="D109" s="360" t="s">
        <v>188</v>
      </c>
      <c r="E109" s="360" t="s">
        <v>358</v>
      </c>
      <c r="F109" s="360" t="s">
        <v>460</v>
      </c>
      <c r="G109" s="177">
        <v>244</v>
      </c>
      <c r="H109" s="328"/>
      <c r="I109" s="328"/>
      <c r="J109" s="153"/>
      <c r="K109" s="153"/>
      <c r="L109" s="153"/>
      <c r="M109" s="153"/>
      <c r="N109" s="153"/>
      <c r="O109" s="153"/>
      <c r="P109" s="328">
        <f t="shared" si="6"/>
        <v>0</v>
      </c>
      <c r="Q109" s="328">
        <f t="shared" si="3"/>
        <v>0</v>
      </c>
      <c r="R109" s="328">
        <f t="shared" si="4"/>
        <v>0</v>
      </c>
      <c r="S109" s="16" t="s">
        <v>461</v>
      </c>
      <c r="T109" s="368"/>
      <c r="U109" s="367"/>
      <c r="V109" s="2"/>
    </row>
    <row r="110" spans="1:22" ht="70.5" hidden="1" customHeight="1" x14ac:dyDescent="0.25">
      <c r="A110" s="365" t="s">
        <v>71</v>
      </c>
      <c r="B110" s="177" t="s">
        <v>462</v>
      </c>
      <c r="C110" s="177" t="s">
        <v>459</v>
      </c>
      <c r="D110" s="360" t="s">
        <v>188</v>
      </c>
      <c r="E110" s="360" t="s">
        <v>358</v>
      </c>
      <c r="F110" s="360" t="s">
        <v>185</v>
      </c>
      <c r="G110" s="177" t="s">
        <v>185</v>
      </c>
      <c r="H110" s="328">
        <v>0</v>
      </c>
      <c r="I110" s="328">
        <v>0</v>
      </c>
      <c r="J110" s="328">
        <v>0</v>
      </c>
      <c r="K110" s="328"/>
      <c r="L110" s="328"/>
      <c r="M110" s="328"/>
      <c r="N110" s="328"/>
      <c r="O110" s="328"/>
      <c r="P110" s="328">
        <f t="shared" si="6"/>
        <v>0</v>
      </c>
      <c r="Q110" s="328">
        <f t="shared" si="3"/>
        <v>0</v>
      </c>
      <c r="R110" s="328">
        <f t="shared" si="4"/>
        <v>0</v>
      </c>
      <c r="S110" s="16" t="s">
        <v>463</v>
      </c>
      <c r="T110" s="368"/>
      <c r="U110" s="367"/>
      <c r="V110" s="2"/>
    </row>
    <row r="111" spans="1:22" ht="21" customHeight="1" x14ac:dyDescent="0.25">
      <c r="A111" s="369" t="s">
        <v>464</v>
      </c>
      <c r="B111" s="369"/>
      <c r="C111" s="370"/>
      <c r="D111" s="370"/>
      <c r="E111" s="370"/>
      <c r="F111" s="370"/>
      <c r="G111" s="370"/>
      <c r="H111" s="153">
        <f t="shared" ref="H111:Q111" si="7">SUM(H55:H110)</f>
        <v>179920.50000000003</v>
      </c>
      <c r="I111" s="153">
        <f t="shared" si="7"/>
        <v>191066.30000000002</v>
      </c>
      <c r="J111" s="153">
        <f t="shared" si="7"/>
        <v>202246.1</v>
      </c>
      <c r="K111" s="153">
        <f t="shared" si="7"/>
        <v>210858.7</v>
      </c>
      <c r="L111" s="153">
        <f t="shared" si="7"/>
        <v>222793.49999999997</v>
      </c>
      <c r="M111" s="153">
        <f t="shared" si="7"/>
        <v>233577.89999999994</v>
      </c>
      <c r="N111" s="153">
        <f t="shared" si="7"/>
        <v>236370.90000000002</v>
      </c>
      <c r="O111" s="153">
        <f t="shared" si="7"/>
        <v>253984.60000000003</v>
      </c>
      <c r="P111" s="153">
        <f t="shared" si="7"/>
        <v>253821.2</v>
      </c>
      <c r="Q111" s="153">
        <f t="shared" si="7"/>
        <v>253736.30000000002</v>
      </c>
      <c r="R111" s="328">
        <f>SUM(H111:Q111)</f>
        <v>2238376</v>
      </c>
      <c r="S111" s="371"/>
    </row>
    <row r="112" spans="1:22" ht="27.75" customHeight="1" x14ac:dyDescent="0.25">
      <c r="A112" s="372" t="s">
        <v>345</v>
      </c>
      <c r="B112" s="372"/>
      <c r="C112" s="372"/>
      <c r="D112" s="372"/>
      <c r="E112" s="372"/>
      <c r="F112" s="372"/>
      <c r="G112" s="372"/>
      <c r="H112" s="373"/>
      <c r="I112" s="373"/>
      <c r="J112" s="373"/>
      <c r="K112" s="373"/>
      <c r="L112" s="373"/>
      <c r="M112" s="373"/>
      <c r="N112" s="373"/>
      <c r="O112" s="373"/>
      <c r="P112" s="373"/>
      <c r="Q112" s="373"/>
      <c r="R112" s="373"/>
      <c r="S112" s="374"/>
      <c r="U112" s="358">
        <f>P53+P111</f>
        <v>282458.5</v>
      </c>
      <c r="V112" s="359">
        <f>U112/3290</f>
        <v>85.853647416413381</v>
      </c>
    </row>
    <row r="113" spans="1:21" ht="35.1" customHeight="1" x14ac:dyDescent="0.25">
      <c r="A113" s="375" t="s">
        <v>465</v>
      </c>
      <c r="B113" s="332" t="s">
        <v>466</v>
      </c>
      <c r="C113" s="144" t="s">
        <v>187</v>
      </c>
      <c r="D113" s="360" t="s">
        <v>188</v>
      </c>
      <c r="E113" s="360" t="s">
        <v>433</v>
      </c>
      <c r="F113" s="376" t="s">
        <v>467</v>
      </c>
      <c r="G113" s="372">
        <v>611</v>
      </c>
      <c r="H113" s="153">
        <v>23037.9</v>
      </c>
      <c r="I113" s="153">
        <v>23911.599999999999</v>
      </c>
      <c r="J113" s="153">
        <v>22936.7</v>
      </c>
      <c r="K113" s="153">
        <v>22825.4</v>
      </c>
      <c r="L113" s="153">
        <v>23271.9</v>
      </c>
      <c r="M113" s="153">
        <v>24149.7</v>
      </c>
      <c r="N113" s="153">
        <v>23497.200000000001</v>
      </c>
      <c r="O113" s="357">
        <v>1175.4000000000001</v>
      </c>
      <c r="P113" s="153">
        <v>887.7</v>
      </c>
      <c r="Q113" s="153">
        <f>P113</f>
        <v>887.7</v>
      </c>
      <c r="R113" s="328">
        <f>SUM(H113:Q113)</f>
        <v>166581.20000000004</v>
      </c>
      <c r="S113" s="122" t="s">
        <v>468</v>
      </c>
    </row>
    <row r="114" spans="1:21" ht="35.1" customHeight="1" x14ac:dyDescent="0.25">
      <c r="A114" s="375"/>
      <c r="B114" s="336"/>
      <c r="C114" s="144"/>
      <c r="D114" s="360" t="s">
        <v>188</v>
      </c>
      <c r="E114" s="360" t="s">
        <v>433</v>
      </c>
      <c r="F114" s="376" t="s">
        <v>469</v>
      </c>
      <c r="G114" s="372">
        <v>611</v>
      </c>
      <c r="H114" s="153"/>
      <c r="I114" s="153"/>
      <c r="J114" s="153"/>
      <c r="K114" s="153"/>
      <c r="L114" s="153"/>
      <c r="M114" s="153"/>
      <c r="N114" s="153"/>
      <c r="O114" s="357">
        <v>5316.3</v>
      </c>
      <c r="P114" s="153">
        <v>5445.8</v>
      </c>
      <c r="Q114" s="153">
        <v>5445.8</v>
      </c>
      <c r="R114" s="328">
        <f>SUM(H114:Q114)</f>
        <v>16207.900000000001</v>
      </c>
      <c r="S114" s="122"/>
      <c r="U114" s="358">
        <f>Q111+Q53</f>
        <v>286007.7</v>
      </c>
    </row>
    <row r="115" spans="1:21" ht="35.1" customHeight="1" x14ac:dyDescent="0.25">
      <c r="A115" s="375"/>
      <c r="B115" s="336"/>
      <c r="C115" s="144"/>
      <c r="D115" s="360" t="s">
        <v>188</v>
      </c>
      <c r="E115" s="360" t="s">
        <v>433</v>
      </c>
      <c r="F115" s="376" t="s">
        <v>470</v>
      </c>
      <c r="G115" s="372">
        <v>611</v>
      </c>
      <c r="H115" s="153"/>
      <c r="I115" s="153"/>
      <c r="J115" s="153"/>
      <c r="K115" s="153"/>
      <c r="L115" s="153"/>
      <c r="M115" s="153"/>
      <c r="N115" s="153"/>
      <c r="O115" s="153">
        <v>23992.1</v>
      </c>
      <c r="P115" s="153">
        <v>30691.1</v>
      </c>
      <c r="Q115" s="153">
        <v>30691.1</v>
      </c>
      <c r="R115" s="328">
        <f>SUM(H115:Q115)</f>
        <v>85374.299999999988</v>
      </c>
      <c r="S115" s="122"/>
    </row>
    <row r="116" spans="1:21" ht="35.1" customHeight="1" x14ac:dyDescent="0.25">
      <c r="A116" s="375"/>
      <c r="B116" s="336"/>
      <c r="C116" s="144"/>
      <c r="D116" s="360" t="s">
        <v>188</v>
      </c>
      <c r="E116" s="360" t="s">
        <v>433</v>
      </c>
      <c r="F116" s="376" t="s">
        <v>467</v>
      </c>
      <c r="G116" s="372">
        <v>612</v>
      </c>
      <c r="H116" s="153">
        <v>228.9</v>
      </c>
      <c r="I116" s="153">
        <v>1514.5</v>
      </c>
      <c r="J116" s="153">
        <f>13390.2-J129-J132</f>
        <v>13254.2</v>
      </c>
      <c r="K116" s="153">
        <v>6851.9</v>
      </c>
      <c r="L116" s="153">
        <v>120</v>
      </c>
      <c r="M116" s="153">
        <v>14.5</v>
      </c>
      <c r="N116" s="153">
        <v>0</v>
      </c>
      <c r="O116" s="153">
        <v>0</v>
      </c>
      <c r="P116" s="153">
        <f t="shared" ref="P116:Q137" si="8">O116</f>
        <v>0</v>
      </c>
      <c r="Q116" s="153">
        <f t="shared" si="8"/>
        <v>0</v>
      </c>
      <c r="R116" s="328">
        <f t="shared" ref="R116:R148" si="9">SUM(H116:Q116)</f>
        <v>21984</v>
      </c>
      <c r="S116" s="122"/>
    </row>
    <row r="117" spans="1:21" ht="35.1" customHeight="1" x14ac:dyDescent="0.25">
      <c r="A117" s="375"/>
      <c r="B117" s="336"/>
      <c r="C117" s="144"/>
      <c r="D117" s="360" t="s">
        <v>188</v>
      </c>
      <c r="E117" s="360" t="s">
        <v>433</v>
      </c>
      <c r="F117" s="376" t="s">
        <v>426</v>
      </c>
      <c r="G117" s="372">
        <v>611</v>
      </c>
      <c r="H117" s="153"/>
      <c r="I117" s="153"/>
      <c r="J117" s="153"/>
      <c r="K117" s="153">
        <v>2950.8</v>
      </c>
      <c r="L117" s="153">
        <v>3915.8</v>
      </c>
      <c r="M117" s="153">
        <v>6010.2</v>
      </c>
      <c r="N117" s="153">
        <v>5508.7</v>
      </c>
      <c r="O117" s="153">
        <v>0</v>
      </c>
      <c r="P117" s="153">
        <v>0</v>
      </c>
      <c r="Q117" s="153">
        <f t="shared" si="8"/>
        <v>0</v>
      </c>
      <c r="R117" s="328">
        <f t="shared" si="9"/>
        <v>18385.5</v>
      </c>
      <c r="S117" s="122"/>
    </row>
    <row r="118" spans="1:21" ht="35.1" customHeight="1" x14ac:dyDescent="0.25">
      <c r="A118" s="375"/>
      <c r="B118" s="336"/>
      <c r="C118" s="144"/>
      <c r="D118" s="360" t="s">
        <v>188</v>
      </c>
      <c r="E118" s="360" t="s">
        <v>433</v>
      </c>
      <c r="F118" s="376" t="s">
        <v>471</v>
      </c>
      <c r="G118" s="372">
        <v>611</v>
      </c>
      <c r="H118" s="153"/>
      <c r="I118" s="153"/>
      <c r="J118" s="153"/>
      <c r="K118" s="153">
        <v>111.3</v>
      </c>
      <c r="L118" s="153">
        <v>106.9</v>
      </c>
      <c r="M118" s="153">
        <v>105.5</v>
      </c>
      <c r="N118" s="153">
        <v>0</v>
      </c>
      <c r="O118" s="153">
        <v>0</v>
      </c>
      <c r="P118" s="153">
        <v>0</v>
      </c>
      <c r="Q118" s="153">
        <f t="shared" si="8"/>
        <v>0</v>
      </c>
      <c r="R118" s="328">
        <f t="shared" si="9"/>
        <v>323.7</v>
      </c>
      <c r="S118" s="122"/>
    </row>
    <row r="119" spans="1:21" ht="35.1" customHeight="1" x14ac:dyDescent="0.25">
      <c r="A119" s="375"/>
      <c r="B119" s="336"/>
      <c r="C119" s="144"/>
      <c r="D119" s="360" t="s">
        <v>188</v>
      </c>
      <c r="E119" s="360" t="s">
        <v>433</v>
      </c>
      <c r="F119" s="376" t="s">
        <v>472</v>
      </c>
      <c r="G119" s="372">
        <v>611</v>
      </c>
      <c r="H119" s="153">
        <v>0</v>
      </c>
      <c r="I119" s="153">
        <v>0</v>
      </c>
      <c r="J119" s="153">
        <v>0</v>
      </c>
      <c r="K119" s="153">
        <v>547.79999999999995</v>
      </c>
      <c r="L119" s="153">
        <v>0</v>
      </c>
      <c r="M119" s="153">
        <v>0</v>
      </c>
      <c r="N119" s="153">
        <v>0</v>
      </c>
      <c r="O119" s="153">
        <v>0</v>
      </c>
      <c r="P119" s="153">
        <f t="shared" si="8"/>
        <v>0</v>
      </c>
      <c r="Q119" s="153">
        <f t="shared" si="8"/>
        <v>0</v>
      </c>
      <c r="R119" s="328">
        <f t="shared" si="9"/>
        <v>547.79999999999995</v>
      </c>
      <c r="S119" s="122"/>
    </row>
    <row r="120" spans="1:21" ht="35.1" customHeight="1" x14ac:dyDescent="0.25">
      <c r="A120" s="375"/>
      <c r="B120" s="336"/>
      <c r="C120" s="144"/>
      <c r="D120" s="360" t="s">
        <v>188</v>
      </c>
      <c r="E120" s="360" t="s">
        <v>433</v>
      </c>
      <c r="F120" s="376" t="s">
        <v>473</v>
      </c>
      <c r="G120" s="372">
        <v>611</v>
      </c>
      <c r="H120" s="153"/>
      <c r="I120" s="153"/>
      <c r="J120" s="153"/>
      <c r="K120" s="153"/>
      <c r="L120" s="153">
        <v>1204.5</v>
      </c>
      <c r="M120" s="153">
        <v>1690.6</v>
      </c>
      <c r="N120" s="153">
        <v>1585.8</v>
      </c>
      <c r="O120" s="153">
        <v>0</v>
      </c>
      <c r="P120" s="153">
        <f t="shared" si="8"/>
        <v>0</v>
      </c>
      <c r="Q120" s="153">
        <f t="shared" si="8"/>
        <v>0</v>
      </c>
      <c r="R120" s="328">
        <f t="shared" si="9"/>
        <v>4480.8999999999996</v>
      </c>
      <c r="S120" s="122"/>
    </row>
    <row r="121" spans="1:21" ht="59.45" customHeight="1" x14ac:dyDescent="0.25">
      <c r="A121" s="375"/>
      <c r="B121" s="336"/>
      <c r="C121" s="144"/>
      <c r="D121" s="360" t="s">
        <v>188</v>
      </c>
      <c r="E121" s="360" t="s">
        <v>433</v>
      </c>
      <c r="F121" s="333" t="s">
        <v>441</v>
      </c>
      <c r="G121" s="372">
        <v>611</v>
      </c>
      <c r="H121" s="153"/>
      <c r="I121" s="153"/>
      <c r="J121" s="153"/>
      <c r="K121" s="153"/>
      <c r="L121" s="153">
        <v>689.2</v>
      </c>
      <c r="M121" s="153">
        <v>97.3</v>
      </c>
      <c r="N121" s="153">
        <v>589.4</v>
      </c>
      <c r="O121" s="153">
        <v>0</v>
      </c>
      <c r="P121" s="153">
        <f t="shared" si="8"/>
        <v>0</v>
      </c>
      <c r="Q121" s="153">
        <f t="shared" si="8"/>
        <v>0</v>
      </c>
      <c r="R121" s="328">
        <f t="shared" si="9"/>
        <v>1375.9</v>
      </c>
      <c r="S121" s="122"/>
    </row>
    <row r="122" spans="1:21" ht="59.45" customHeight="1" x14ac:dyDescent="0.25">
      <c r="A122" s="375"/>
      <c r="B122" s="336"/>
      <c r="C122" s="144"/>
      <c r="D122" s="360" t="s">
        <v>188</v>
      </c>
      <c r="E122" s="360" t="s">
        <v>433</v>
      </c>
      <c r="F122" s="333" t="s">
        <v>474</v>
      </c>
      <c r="G122" s="372">
        <v>611</v>
      </c>
      <c r="H122" s="153"/>
      <c r="I122" s="153"/>
      <c r="J122" s="153"/>
      <c r="K122" s="153"/>
      <c r="L122" s="153"/>
      <c r="M122" s="153"/>
      <c r="N122" s="153">
        <v>282.8</v>
      </c>
      <c r="O122" s="153">
        <v>0</v>
      </c>
      <c r="P122" s="153">
        <v>0</v>
      </c>
      <c r="Q122" s="153">
        <f t="shared" si="8"/>
        <v>0</v>
      </c>
      <c r="R122" s="328">
        <f t="shared" si="9"/>
        <v>282.8</v>
      </c>
      <c r="S122" s="122"/>
    </row>
    <row r="123" spans="1:21" ht="35.1" customHeight="1" x14ac:dyDescent="0.25">
      <c r="A123" s="375"/>
      <c r="B123" s="336"/>
      <c r="C123" s="144"/>
      <c r="D123" s="360" t="s">
        <v>188</v>
      </c>
      <c r="E123" s="360" t="s">
        <v>433</v>
      </c>
      <c r="F123" s="376" t="s">
        <v>475</v>
      </c>
      <c r="G123" s="372">
        <v>612</v>
      </c>
      <c r="H123" s="153"/>
      <c r="I123" s="153"/>
      <c r="J123" s="153"/>
      <c r="K123" s="153"/>
      <c r="L123" s="153">
        <v>1000</v>
      </c>
      <c r="M123" s="153"/>
      <c r="N123" s="153"/>
      <c r="O123" s="153">
        <v>0</v>
      </c>
      <c r="P123" s="153">
        <f t="shared" si="8"/>
        <v>0</v>
      </c>
      <c r="Q123" s="153">
        <f t="shared" si="8"/>
        <v>0</v>
      </c>
      <c r="R123" s="328">
        <f t="shared" si="9"/>
        <v>1000</v>
      </c>
      <c r="S123" s="122"/>
    </row>
    <row r="124" spans="1:21" ht="35.1" customHeight="1" x14ac:dyDescent="0.25">
      <c r="A124" s="375"/>
      <c r="B124" s="336"/>
      <c r="C124" s="144"/>
      <c r="D124" s="360" t="s">
        <v>188</v>
      </c>
      <c r="E124" s="360" t="s">
        <v>433</v>
      </c>
      <c r="F124" s="376" t="s">
        <v>476</v>
      </c>
      <c r="G124" s="372">
        <v>612</v>
      </c>
      <c r="H124" s="153"/>
      <c r="I124" s="153"/>
      <c r="J124" s="153"/>
      <c r="K124" s="153"/>
      <c r="L124" s="153">
        <v>50</v>
      </c>
      <c r="M124" s="153"/>
      <c r="N124" s="153"/>
      <c r="O124" s="153">
        <v>0</v>
      </c>
      <c r="P124" s="153">
        <f t="shared" si="8"/>
        <v>0</v>
      </c>
      <c r="Q124" s="153">
        <f t="shared" si="8"/>
        <v>0</v>
      </c>
      <c r="R124" s="328">
        <f t="shared" si="9"/>
        <v>50</v>
      </c>
      <c r="S124" s="122"/>
    </row>
    <row r="125" spans="1:21" ht="35.1" customHeight="1" x14ac:dyDescent="0.25">
      <c r="A125" s="375"/>
      <c r="B125" s="336"/>
      <c r="C125" s="144"/>
      <c r="D125" s="360" t="s">
        <v>188</v>
      </c>
      <c r="E125" s="360" t="s">
        <v>433</v>
      </c>
      <c r="F125" s="376" t="s">
        <v>442</v>
      </c>
      <c r="G125" s="372">
        <v>611</v>
      </c>
      <c r="H125" s="153"/>
      <c r="I125" s="153"/>
      <c r="J125" s="153"/>
      <c r="K125" s="153"/>
      <c r="L125" s="153"/>
      <c r="M125" s="153">
        <v>94.7</v>
      </c>
      <c r="N125" s="153"/>
      <c r="O125" s="153">
        <v>0</v>
      </c>
      <c r="P125" s="153">
        <f t="shared" si="8"/>
        <v>0</v>
      </c>
      <c r="Q125" s="153">
        <f t="shared" si="8"/>
        <v>0</v>
      </c>
      <c r="R125" s="328">
        <f t="shared" si="9"/>
        <v>94.7</v>
      </c>
      <c r="S125" s="122"/>
    </row>
    <row r="126" spans="1:21" ht="35.1" customHeight="1" x14ac:dyDescent="0.25">
      <c r="A126" s="375"/>
      <c r="B126" s="338"/>
      <c r="C126" s="144"/>
      <c r="D126" s="360" t="s">
        <v>188</v>
      </c>
      <c r="E126" s="360" t="s">
        <v>433</v>
      </c>
      <c r="F126" s="376" t="s">
        <v>477</v>
      </c>
      <c r="G126" s="372">
        <v>611</v>
      </c>
      <c r="H126" s="153"/>
      <c r="I126" s="153"/>
      <c r="J126" s="153"/>
      <c r="K126" s="153"/>
      <c r="L126" s="153"/>
      <c r="M126" s="153">
        <v>75.8</v>
      </c>
      <c r="N126" s="153"/>
      <c r="O126" s="153">
        <v>0</v>
      </c>
      <c r="P126" s="153">
        <v>0</v>
      </c>
      <c r="Q126" s="153">
        <f t="shared" si="8"/>
        <v>0</v>
      </c>
      <c r="R126" s="328">
        <f t="shared" si="9"/>
        <v>75.8</v>
      </c>
      <c r="S126" s="122"/>
    </row>
    <row r="127" spans="1:21" ht="35.1" customHeight="1" x14ac:dyDescent="0.25">
      <c r="A127" s="375"/>
      <c r="B127" s="377"/>
      <c r="C127" s="144"/>
      <c r="D127" s="360" t="s">
        <v>188</v>
      </c>
      <c r="E127" s="360" t="s">
        <v>433</v>
      </c>
      <c r="F127" s="376" t="s">
        <v>443</v>
      </c>
      <c r="G127" s="372">
        <v>611</v>
      </c>
      <c r="H127" s="153"/>
      <c r="I127" s="153"/>
      <c r="J127" s="153"/>
      <c r="K127" s="153"/>
      <c r="L127" s="153"/>
      <c r="M127" s="153"/>
      <c r="N127" s="153">
        <v>61.1</v>
      </c>
      <c r="O127" s="153">
        <v>0</v>
      </c>
      <c r="P127" s="153">
        <v>0</v>
      </c>
      <c r="Q127" s="153">
        <v>0</v>
      </c>
      <c r="R127" s="328">
        <f t="shared" si="9"/>
        <v>61.1</v>
      </c>
      <c r="S127" s="122"/>
    </row>
    <row r="128" spans="1:21" ht="51.75" customHeight="1" x14ac:dyDescent="0.25">
      <c r="A128" s="375"/>
      <c r="B128" s="344" t="s">
        <v>478</v>
      </c>
      <c r="C128" s="144"/>
      <c r="D128" s="360" t="s">
        <v>188</v>
      </c>
      <c r="E128" s="360" t="s">
        <v>433</v>
      </c>
      <c r="F128" s="360" t="s">
        <v>185</v>
      </c>
      <c r="G128" s="177" t="s">
        <v>185</v>
      </c>
      <c r="H128" s="153">
        <f>959+71.4+16.6</f>
        <v>1047</v>
      </c>
      <c r="I128" s="153">
        <v>1619.2</v>
      </c>
      <c r="J128" s="153">
        <v>1279</v>
      </c>
      <c r="K128" s="153">
        <v>1279</v>
      </c>
      <c r="L128" s="153">
        <f>2009.3+22</f>
        <v>2031.3</v>
      </c>
      <c r="M128" s="153">
        <v>1418.7</v>
      </c>
      <c r="N128" s="153">
        <v>627.1</v>
      </c>
      <c r="O128" s="357">
        <v>1341.6</v>
      </c>
      <c r="P128" s="153">
        <v>540</v>
      </c>
      <c r="Q128" s="153">
        <f t="shared" si="8"/>
        <v>540</v>
      </c>
      <c r="R128" s="328">
        <f t="shared" si="9"/>
        <v>11722.900000000001</v>
      </c>
      <c r="S128" s="122"/>
    </row>
    <row r="129" spans="1:19" ht="68.45" customHeight="1" x14ac:dyDescent="0.25">
      <c r="A129" s="378" t="s">
        <v>479</v>
      </c>
      <c r="B129" s="369" t="s">
        <v>480</v>
      </c>
      <c r="C129" s="326" t="s">
        <v>481</v>
      </c>
      <c r="D129" s="376" t="s">
        <v>188</v>
      </c>
      <c r="E129" s="376" t="s">
        <v>358</v>
      </c>
      <c r="F129" s="376" t="s">
        <v>467</v>
      </c>
      <c r="G129" s="177">
        <v>612</v>
      </c>
      <c r="H129" s="153"/>
      <c r="I129" s="153">
        <v>49.6</v>
      </c>
      <c r="J129" s="153">
        <v>63.5</v>
      </c>
      <c r="K129" s="379"/>
      <c r="L129" s="379"/>
      <c r="M129" s="379"/>
      <c r="N129" s="379"/>
      <c r="O129" s="379">
        <v>0</v>
      </c>
      <c r="P129" s="153">
        <f t="shared" si="8"/>
        <v>0</v>
      </c>
      <c r="Q129" s="153">
        <f t="shared" si="8"/>
        <v>0</v>
      </c>
      <c r="R129" s="328">
        <f t="shared" si="9"/>
        <v>113.1</v>
      </c>
      <c r="S129" s="369" t="s">
        <v>482</v>
      </c>
    </row>
    <row r="130" spans="1:19" ht="61.5" customHeight="1" x14ac:dyDescent="0.25">
      <c r="A130" s="378"/>
      <c r="B130" s="369"/>
      <c r="C130" s="326"/>
      <c r="D130" s="376" t="s">
        <v>188</v>
      </c>
      <c r="E130" s="376" t="s">
        <v>358</v>
      </c>
      <c r="F130" s="376" t="s">
        <v>467</v>
      </c>
      <c r="G130" s="177">
        <v>244</v>
      </c>
      <c r="H130" s="153">
        <v>59.6</v>
      </c>
      <c r="I130" s="153">
        <v>10</v>
      </c>
      <c r="J130" s="153">
        <v>10</v>
      </c>
      <c r="K130" s="379"/>
      <c r="L130" s="379"/>
      <c r="M130" s="379"/>
      <c r="N130" s="379"/>
      <c r="O130" s="379">
        <v>0</v>
      </c>
      <c r="P130" s="153">
        <f t="shared" si="8"/>
        <v>0</v>
      </c>
      <c r="Q130" s="153">
        <f t="shared" si="8"/>
        <v>0</v>
      </c>
      <c r="R130" s="328">
        <f t="shared" si="9"/>
        <v>79.599999999999994</v>
      </c>
      <c r="S130" s="369"/>
    </row>
    <row r="131" spans="1:19" ht="42.75" customHeight="1" x14ac:dyDescent="0.25">
      <c r="A131" s="380" t="s">
        <v>483</v>
      </c>
      <c r="B131" s="369" t="s">
        <v>484</v>
      </c>
      <c r="C131" s="326" t="s">
        <v>187</v>
      </c>
      <c r="D131" s="376" t="s">
        <v>188</v>
      </c>
      <c r="E131" s="376" t="s">
        <v>321</v>
      </c>
      <c r="F131" s="376" t="s">
        <v>485</v>
      </c>
      <c r="G131" s="177">
        <v>244</v>
      </c>
      <c r="H131" s="153">
        <v>31.4</v>
      </c>
      <c r="I131" s="153"/>
      <c r="J131" s="153"/>
      <c r="K131" s="153"/>
      <c r="L131" s="153"/>
      <c r="M131" s="153"/>
      <c r="N131" s="153"/>
      <c r="O131" s="153">
        <v>0</v>
      </c>
      <c r="P131" s="153">
        <f t="shared" si="8"/>
        <v>0</v>
      </c>
      <c r="Q131" s="153">
        <f t="shared" si="8"/>
        <v>0</v>
      </c>
      <c r="R131" s="328">
        <f t="shared" si="9"/>
        <v>31.4</v>
      </c>
      <c r="S131" s="369" t="s">
        <v>486</v>
      </c>
    </row>
    <row r="132" spans="1:19" ht="25.15" customHeight="1" x14ac:dyDescent="0.25">
      <c r="A132" s="380"/>
      <c r="B132" s="369"/>
      <c r="C132" s="326"/>
      <c r="D132" s="376" t="s">
        <v>188</v>
      </c>
      <c r="E132" s="376" t="s">
        <v>358</v>
      </c>
      <c r="F132" s="376" t="s">
        <v>467</v>
      </c>
      <c r="G132" s="177">
        <v>612</v>
      </c>
      <c r="H132" s="153">
        <v>16</v>
      </c>
      <c r="I132" s="153">
        <v>47.1</v>
      </c>
      <c r="J132" s="153">
        <v>72.5</v>
      </c>
      <c r="K132" s="379"/>
      <c r="L132" s="379"/>
      <c r="M132" s="379"/>
      <c r="N132" s="379"/>
      <c r="O132" s="379">
        <v>0</v>
      </c>
      <c r="P132" s="153">
        <f t="shared" si="8"/>
        <v>0</v>
      </c>
      <c r="Q132" s="153">
        <f t="shared" si="8"/>
        <v>0</v>
      </c>
      <c r="R132" s="328">
        <f t="shared" si="9"/>
        <v>135.6</v>
      </c>
      <c r="S132" s="369"/>
    </row>
    <row r="133" spans="1:19" ht="60.75" hidden="1" customHeight="1" x14ac:dyDescent="0.25">
      <c r="A133" s="381" t="s">
        <v>487</v>
      </c>
      <c r="B133" s="346" t="s">
        <v>488</v>
      </c>
      <c r="C133" s="177" t="s">
        <v>187</v>
      </c>
      <c r="D133" s="376">
        <v>975</v>
      </c>
      <c r="E133" s="376" t="s">
        <v>449</v>
      </c>
      <c r="F133" s="376" t="s">
        <v>185</v>
      </c>
      <c r="G133" s="360" t="s">
        <v>185</v>
      </c>
      <c r="H133" s="153">
        <v>0</v>
      </c>
      <c r="I133" s="153">
        <v>0</v>
      </c>
      <c r="J133" s="153">
        <v>0</v>
      </c>
      <c r="K133" s="153"/>
      <c r="L133" s="153"/>
      <c r="M133" s="153"/>
      <c r="N133" s="153"/>
      <c r="O133" s="153"/>
      <c r="P133" s="153">
        <f t="shared" si="8"/>
        <v>0</v>
      </c>
      <c r="Q133" s="153">
        <f t="shared" si="8"/>
        <v>0</v>
      </c>
      <c r="R133" s="328">
        <f t="shared" si="9"/>
        <v>0</v>
      </c>
      <c r="S133" s="382" t="s">
        <v>489</v>
      </c>
    </row>
    <row r="134" spans="1:19" ht="102.75" hidden="1" customHeight="1" x14ac:dyDescent="0.25">
      <c r="A134" s="381"/>
      <c r="B134" s="346"/>
      <c r="C134" s="177" t="s">
        <v>490</v>
      </c>
      <c r="D134" s="376">
        <v>964</v>
      </c>
      <c r="E134" s="376" t="s">
        <v>449</v>
      </c>
      <c r="F134" s="376" t="s">
        <v>185</v>
      </c>
      <c r="G134" s="383" t="s">
        <v>185</v>
      </c>
      <c r="H134" s="153">
        <v>0</v>
      </c>
      <c r="I134" s="153">
        <v>0</v>
      </c>
      <c r="J134" s="153">
        <v>0</v>
      </c>
      <c r="K134" s="153"/>
      <c r="L134" s="153"/>
      <c r="M134" s="153"/>
      <c r="N134" s="153"/>
      <c r="O134" s="153"/>
      <c r="P134" s="153">
        <f t="shared" si="8"/>
        <v>0</v>
      </c>
      <c r="Q134" s="153">
        <f t="shared" si="8"/>
        <v>0</v>
      </c>
      <c r="R134" s="328">
        <f t="shared" si="9"/>
        <v>0</v>
      </c>
      <c r="S134" s="382"/>
    </row>
    <row r="135" spans="1:19" ht="70.5" hidden="1" customHeight="1" x14ac:dyDescent="0.25">
      <c r="A135" s="381"/>
      <c r="B135" s="346"/>
      <c r="C135" s="177" t="s">
        <v>491</v>
      </c>
      <c r="D135" s="376">
        <v>956</v>
      </c>
      <c r="E135" s="376" t="s">
        <v>492</v>
      </c>
      <c r="F135" s="376" t="s">
        <v>185</v>
      </c>
      <c r="G135" s="383" t="s">
        <v>185</v>
      </c>
      <c r="H135" s="153">
        <v>0</v>
      </c>
      <c r="I135" s="153">
        <v>0</v>
      </c>
      <c r="J135" s="153">
        <v>0</v>
      </c>
      <c r="K135" s="153"/>
      <c r="L135" s="153"/>
      <c r="M135" s="153"/>
      <c r="N135" s="153"/>
      <c r="O135" s="153"/>
      <c r="P135" s="153">
        <f t="shared" si="8"/>
        <v>0</v>
      </c>
      <c r="Q135" s="153">
        <f t="shared" si="8"/>
        <v>0</v>
      </c>
      <c r="R135" s="328">
        <f t="shared" si="9"/>
        <v>0</v>
      </c>
      <c r="S135" s="382"/>
    </row>
    <row r="136" spans="1:19" ht="66" customHeight="1" x14ac:dyDescent="0.25">
      <c r="A136" s="365" t="s">
        <v>487</v>
      </c>
      <c r="B136" s="177" t="s">
        <v>493</v>
      </c>
      <c r="C136" s="177" t="s">
        <v>494</v>
      </c>
      <c r="D136" s="376" t="s">
        <v>188</v>
      </c>
      <c r="E136" s="376" t="s">
        <v>321</v>
      </c>
      <c r="F136" s="376" t="s">
        <v>485</v>
      </c>
      <c r="G136" s="360" t="s">
        <v>495</v>
      </c>
      <c r="H136" s="153">
        <v>114.4</v>
      </c>
      <c r="I136" s="153">
        <v>166.8</v>
      </c>
      <c r="J136" s="153">
        <v>0</v>
      </c>
      <c r="K136" s="379"/>
      <c r="L136" s="379"/>
      <c r="M136" s="379"/>
      <c r="N136" s="379"/>
      <c r="O136" s="379">
        <v>0</v>
      </c>
      <c r="P136" s="153">
        <f t="shared" si="8"/>
        <v>0</v>
      </c>
      <c r="Q136" s="153">
        <f t="shared" si="8"/>
        <v>0</v>
      </c>
      <c r="R136" s="328">
        <f t="shared" si="9"/>
        <v>281.20000000000005</v>
      </c>
      <c r="S136" s="177" t="s">
        <v>496</v>
      </c>
    </row>
    <row r="137" spans="1:19" ht="50.45" customHeight="1" x14ac:dyDescent="0.25">
      <c r="A137" s="365" t="s">
        <v>497</v>
      </c>
      <c r="B137" s="177" t="s">
        <v>498</v>
      </c>
      <c r="C137" s="177" t="s">
        <v>187</v>
      </c>
      <c r="D137" s="376" t="s">
        <v>188</v>
      </c>
      <c r="E137" s="376" t="s">
        <v>358</v>
      </c>
      <c r="F137" s="376" t="s">
        <v>499</v>
      </c>
      <c r="G137" s="339">
        <v>612</v>
      </c>
      <c r="H137" s="153">
        <v>5</v>
      </c>
      <c r="I137" s="153"/>
      <c r="J137" s="153"/>
      <c r="K137" s="153"/>
      <c r="L137" s="153"/>
      <c r="M137" s="153"/>
      <c r="N137" s="153"/>
      <c r="O137" s="153">
        <v>0</v>
      </c>
      <c r="P137" s="153">
        <f t="shared" si="8"/>
        <v>0</v>
      </c>
      <c r="Q137" s="153">
        <f t="shared" si="8"/>
        <v>0</v>
      </c>
      <c r="R137" s="328">
        <f t="shared" si="9"/>
        <v>5</v>
      </c>
      <c r="S137" s="384"/>
    </row>
    <row r="138" spans="1:19" ht="50.45" customHeight="1" x14ac:dyDescent="0.25">
      <c r="A138" s="265" t="s">
        <v>500</v>
      </c>
      <c r="B138" s="256" t="s">
        <v>501</v>
      </c>
      <c r="C138" s="143" t="s">
        <v>502</v>
      </c>
      <c r="D138" s="360" t="s">
        <v>188</v>
      </c>
      <c r="E138" s="360" t="s">
        <v>433</v>
      </c>
      <c r="F138" s="376" t="s">
        <v>503</v>
      </c>
      <c r="G138" s="372">
        <v>611</v>
      </c>
      <c r="H138" s="153"/>
      <c r="I138" s="153"/>
      <c r="J138" s="153"/>
      <c r="K138" s="153"/>
      <c r="L138" s="153"/>
      <c r="M138" s="153"/>
      <c r="N138" s="153">
        <v>3287.3</v>
      </c>
      <c r="O138" s="153">
        <v>8889.7999999999993</v>
      </c>
      <c r="P138" s="153">
        <v>0</v>
      </c>
      <c r="Q138" s="153">
        <f t="shared" ref="Q138:Q165" si="10">P138</f>
        <v>0</v>
      </c>
      <c r="R138" s="328">
        <f t="shared" si="9"/>
        <v>12177.099999999999</v>
      </c>
      <c r="S138" s="384"/>
    </row>
    <row r="139" spans="1:19" ht="50.45" customHeight="1" x14ac:dyDescent="0.25">
      <c r="A139" s="385"/>
      <c r="B139" s="386"/>
      <c r="C139" s="145"/>
      <c r="D139" s="360" t="s">
        <v>188</v>
      </c>
      <c r="E139" s="360" t="s">
        <v>433</v>
      </c>
      <c r="F139" s="376" t="s">
        <v>503</v>
      </c>
      <c r="G139" s="372">
        <v>613</v>
      </c>
      <c r="H139" s="153"/>
      <c r="I139" s="153"/>
      <c r="J139" s="153"/>
      <c r="K139" s="153"/>
      <c r="L139" s="153"/>
      <c r="M139" s="153"/>
      <c r="N139" s="153"/>
      <c r="O139" s="153">
        <v>34.4</v>
      </c>
      <c r="P139" s="153">
        <v>0</v>
      </c>
      <c r="Q139" s="153">
        <f t="shared" si="10"/>
        <v>0</v>
      </c>
      <c r="R139" s="328">
        <f t="shared" si="9"/>
        <v>34.4</v>
      </c>
      <c r="S139" s="384"/>
    </row>
    <row r="140" spans="1:19" ht="50.45" customHeight="1" x14ac:dyDescent="0.25">
      <c r="A140" s="385"/>
      <c r="B140" s="386"/>
      <c r="C140" s="145"/>
      <c r="D140" s="360" t="s">
        <v>188</v>
      </c>
      <c r="E140" s="360" t="s">
        <v>433</v>
      </c>
      <c r="F140" s="376" t="s">
        <v>503</v>
      </c>
      <c r="G140" s="372">
        <v>623</v>
      </c>
      <c r="H140" s="153"/>
      <c r="I140" s="153"/>
      <c r="J140" s="153"/>
      <c r="K140" s="153"/>
      <c r="L140" s="153"/>
      <c r="M140" s="153"/>
      <c r="N140" s="153"/>
      <c r="O140" s="153">
        <v>34.4</v>
      </c>
      <c r="P140" s="153">
        <v>0</v>
      </c>
      <c r="Q140" s="153">
        <f t="shared" si="10"/>
        <v>0</v>
      </c>
      <c r="R140" s="328">
        <f t="shared" si="9"/>
        <v>34.4</v>
      </c>
      <c r="S140" s="384"/>
    </row>
    <row r="141" spans="1:19" ht="50.45" customHeight="1" x14ac:dyDescent="0.25">
      <c r="A141" s="385"/>
      <c r="B141" s="386"/>
      <c r="C141" s="145"/>
      <c r="D141" s="360" t="s">
        <v>188</v>
      </c>
      <c r="E141" s="360" t="s">
        <v>433</v>
      </c>
      <c r="F141" s="376" t="s">
        <v>503</v>
      </c>
      <c r="G141" s="372">
        <v>633</v>
      </c>
      <c r="H141" s="153"/>
      <c r="I141" s="153"/>
      <c r="J141" s="153"/>
      <c r="K141" s="153"/>
      <c r="L141" s="153"/>
      <c r="M141" s="153"/>
      <c r="N141" s="153"/>
      <c r="O141" s="153">
        <v>35.700000000000003</v>
      </c>
      <c r="P141" s="153">
        <v>0</v>
      </c>
      <c r="Q141" s="153">
        <f t="shared" si="10"/>
        <v>0</v>
      </c>
      <c r="R141" s="328">
        <f t="shared" si="9"/>
        <v>35.700000000000003</v>
      </c>
      <c r="S141" s="384"/>
    </row>
    <row r="142" spans="1:19" ht="50.45" customHeight="1" x14ac:dyDescent="0.25">
      <c r="A142" s="385"/>
      <c r="B142" s="386"/>
      <c r="C142" s="206"/>
      <c r="D142" s="360" t="s">
        <v>188</v>
      </c>
      <c r="E142" s="360" t="s">
        <v>433</v>
      </c>
      <c r="F142" s="376" t="s">
        <v>503</v>
      </c>
      <c r="G142" s="372">
        <v>813</v>
      </c>
      <c r="H142" s="153"/>
      <c r="I142" s="153"/>
      <c r="J142" s="153"/>
      <c r="K142" s="153"/>
      <c r="L142" s="153"/>
      <c r="M142" s="153"/>
      <c r="N142" s="153"/>
      <c r="O142" s="153">
        <v>34.4</v>
      </c>
      <c r="P142" s="153">
        <v>0</v>
      </c>
      <c r="Q142" s="153">
        <f t="shared" si="10"/>
        <v>0</v>
      </c>
      <c r="R142" s="328">
        <f t="shared" si="9"/>
        <v>34.4</v>
      </c>
      <c r="S142" s="384"/>
    </row>
    <row r="143" spans="1:19" ht="97.9" customHeight="1" x14ac:dyDescent="0.25">
      <c r="A143" s="267"/>
      <c r="B143" s="260"/>
      <c r="C143" s="21" t="s">
        <v>504</v>
      </c>
      <c r="D143" s="360" t="s">
        <v>505</v>
      </c>
      <c r="E143" s="360" t="s">
        <v>433</v>
      </c>
      <c r="F143" s="376" t="s">
        <v>506</v>
      </c>
      <c r="G143" s="372">
        <v>611</v>
      </c>
      <c r="H143" s="153"/>
      <c r="I143" s="153"/>
      <c r="J143" s="153"/>
      <c r="K143" s="153"/>
      <c r="L143" s="153"/>
      <c r="M143" s="153"/>
      <c r="N143" s="153">
        <v>360.3</v>
      </c>
      <c r="O143" s="153">
        <v>0</v>
      </c>
      <c r="P143" s="153">
        <v>0</v>
      </c>
      <c r="Q143" s="153">
        <f t="shared" si="10"/>
        <v>0</v>
      </c>
      <c r="R143" s="328">
        <f t="shared" si="9"/>
        <v>360.3</v>
      </c>
      <c r="S143" s="384"/>
    </row>
    <row r="144" spans="1:19" ht="35.1" customHeight="1" x14ac:dyDescent="0.3">
      <c r="A144" s="387" t="s">
        <v>507</v>
      </c>
      <c r="B144" s="387"/>
      <c r="C144" s="388"/>
      <c r="D144" s="388"/>
      <c r="E144" s="388"/>
      <c r="F144" s="388"/>
      <c r="G144" s="388"/>
      <c r="H144" s="389">
        <f t="shared" ref="H144:M144" si="11">SUM(H113:H137)</f>
        <v>24540.200000000004</v>
      </c>
      <c r="I144" s="389">
        <f t="shared" si="11"/>
        <v>27318.799999999996</v>
      </c>
      <c r="J144" s="389">
        <f t="shared" si="11"/>
        <v>37615.9</v>
      </c>
      <c r="K144" s="389">
        <f t="shared" si="11"/>
        <v>34566.200000000004</v>
      </c>
      <c r="L144" s="389">
        <f t="shared" si="11"/>
        <v>32389.600000000002</v>
      </c>
      <c r="M144" s="389">
        <f t="shared" si="11"/>
        <v>33657</v>
      </c>
      <c r="N144" s="389">
        <f>SUM(N113:N143)</f>
        <v>35799.700000000004</v>
      </c>
      <c r="O144" s="389">
        <f>SUM(O113:O143)</f>
        <v>40854.1</v>
      </c>
      <c r="P144" s="389">
        <f>SUM(P113:P143)</f>
        <v>37564.6</v>
      </c>
      <c r="Q144" s="389">
        <f>SUM(Q113:Q143)</f>
        <v>37564.6</v>
      </c>
      <c r="R144" s="328">
        <f>SUM(H144:Q144)</f>
        <v>341870.69999999995</v>
      </c>
      <c r="S144" s="390"/>
    </row>
    <row r="145" spans="1:19" s="393" customFormat="1" ht="35.1" customHeight="1" x14ac:dyDescent="0.3">
      <c r="A145" s="387" t="s">
        <v>508</v>
      </c>
      <c r="B145" s="387"/>
      <c r="C145" s="391"/>
      <c r="D145" s="391"/>
      <c r="E145" s="391"/>
      <c r="F145" s="391"/>
      <c r="G145" s="391"/>
      <c r="H145" s="389">
        <f t="shared" ref="H145:Q145" si="12">H144+H111+H53</f>
        <v>214621.90000000005</v>
      </c>
      <c r="I145" s="389">
        <f t="shared" si="12"/>
        <v>231479.1</v>
      </c>
      <c r="J145" s="389">
        <f t="shared" si="12"/>
        <v>252889.60000000001</v>
      </c>
      <c r="K145" s="389">
        <f t="shared" si="12"/>
        <v>262736.60000000003</v>
      </c>
      <c r="L145" s="389">
        <f t="shared" si="12"/>
        <v>275850</v>
      </c>
      <c r="M145" s="389">
        <f t="shared" si="12"/>
        <v>294091.1999999999</v>
      </c>
      <c r="N145" s="389">
        <f t="shared" si="12"/>
        <v>299894.2</v>
      </c>
      <c r="O145" s="389">
        <f t="shared" si="12"/>
        <v>338334.8</v>
      </c>
      <c r="P145" s="389">
        <f>P144+P111+P53</f>
        <v>320023.09999999998</v>
      </c>
      <c r="Q145" s="389">
        <f t="shared" si="12"/>
        <v>323572.30000000005</v>
      </c>
      <c r="R145" s="328">
        <f>SUM(H145:Q145)</f>
        <v>2813492.8</v>
      </c>
      <c r="S145" s="392"/>
    </row>
    <row r="146" spans="1:19" s="393" customFormat="1" ht="35.1" customHeight="1" x14ac:dyDescent="0.3">
      <c r="A146" s="387" t="s">
        <v>326</v>
      </c>
      <c r="B146" s="387"/>
      <c r="C146" s="391"/>
      <c r="D146" s="391"/>
      <c r="E146" s="391"/>
      <c r="F146" s="391"/>
      <c r="G146" s="391"/>
      <c r="H146" s="389">
        <f>H7+H11+H12+H20+H21+H30+H32+H80+H81+H82+H84+H85+H87+H89+H90+H91+H92+H94+H102+H103</f>
        <v>109406.90000000001</v>
      </c>
      <c r="I146" s="389">
        <f>I7+I11+I12+I20+I21+I30+I32+I80+I81+I82+I84+I85+I87+I89+I90+I91+I92+I94+I102+I103</f>
        <v>113565.79999999999</v>
      </c>
      <c r="J146" s="389">
        <f>J7+J11+J12+J20+J21+J28+J29+J30+J32+J80+J81+J82+J84+J85+J87+J89+J90+J91+J92+J94+J102+J103</f>
        <v>149314.1</v>
      </c>
      <c r="K146" s="389">
        <f>K7+K11+K12+K20+K21+K30+K32+K80+K81+K82+K84+K85+K87+K89+K90+K91+K92+K93+K94+K102+K103+K88</f>
        <v>163921.20000000001</v>
      </c>
      <c r="L146" s="389">
        <f>L7+L11+L12+L20+L21+L30+L32+L80+L81+L82+L84+L85+L87+L89+L90+L91+L92+L93+L94+L102+L103+L121+L120+L101+L96+L95+L123+L17</f>
        <v>178896.09999999998</v>
      </c>
      <c r="M146" s="389">
        <f>M7+M11+M12+M20+M21+M30+M32+M80+M81+M82+M84+M85+M87+M89+M90+M91+M92+M93+M94+M102+M103+M83+M86+M120+M15+M17+M126+M121+M95+M96+M97+M98+M125</f>
        <v>189252.89999999994</v>
      </c>
      <c r="N146" s="389">
        <f>N11+N12+N20+N21+N23+N24++N25+N32+N33+N39+N46+N48+N50+N52+N77+N78+N82+N83+N85+N86+N92+N94+N95+N96+N99+N100+N120++N121+N122+N127</f>
        <v>213984.9</v>
      </c>
      <c r="O146" s="389">
        <f>O7+O11+O12+O20+O21+O30+O32+O80+O81+O82+O84+O85+O87+O89+O90+O91+O92+O93+O94+O102+O103+O95+O96+O39+O40+O83+O86+O120+O121+O46+O50+O122+O79+O78+O77+O48+O24+O23+O35+O36+O25+O44+O88+O42+O22-0.2+O52</f>
        <v>236996.3</v>
      </c>
      <c r="P146" s="389">
        <f>P7+P11+P12+P20+P21+P30+P32+P80+P81+P82+P84+P85+P87+P89+P90+P91+P92+P93+P94+P102+P103+P95+P96+P39+P40+P83+P86+P120+P121+P46+P50+P122+P79+P78+P77+P48+P24+P23+P35+P25+P44+P88+P42+P22</f>
        <v>231059.90000000002</v>
      </c>
      <c r="Q146" s="389">
        <f>Q7+Q11+Q12+Q20+Q21+Q30+Q32+Q80+Q81+Q82+Q84+Q85+Q87+Q89+Q90+Q91+Q92+Q93+Q94+Q102+Q103+Q95+Q96+Q39+Q40+Q83+Q86+Q120+Q121+Q46+Q50+Q122+Q79+Q78+Q77+Q48+Q24+Q23+Q35+Q25+Q44+Q88+Q42+Q22</f>
        <v>234658.40000000002</v>
      </c>
      <c r="R146" s="328">
        <f t="shared" si="9"/>
        <v>1821056.5</v>
      </c>
      <c r="S146" s="392"/>
    </row>
    <row r="147" spans="1:19" s="393" customFormat="1" ht="35.1" customHeight="1" x14ac:dyDescent="0.3">
      <c r="A147" s="387" t="s">
        <v>327</v>
      </c>
      <c r="B147" s="387"/>
      <c r="C147" s="391"/>
      <c r="D147" s="391"/>
      <c r="E147" s="391"/>
      <c r="F147" s="391"/>
      <c r="G147" s="391"/>
      <c r="H147" s="389">
        <f>H8+H9+H13+H14+H31+H33+H34+H55+H56+H57+H61+H62+H65+H66+H67+H68+H69+H70+H71+H72+H73+H74+H75+H76+H109+H113+H116+H117+H118+H119+H136+H137+H130+H131+H132+H129</f>
        <v>103390.39999999999</v>
      </c>
      <c r="I147" s="389">
        <f>I8+I9+I13+I14+I31+I33+I34+I55+I56+I57+I61+I62+I65+I66+I67+I68+I69+I70+I71+I72+I73+I74+I75+I76+I109+I113+I116+I117+I118+I119+I136+I137+I130+I131+I132+I129</f>
        <v>115762.00000000001</v>
      </c>
      <c r="J147" s="389">
        <f>J8+J9+J13+J14+J31+J33+J34+J55+J56+J57+J61+J62+J65+J66+J67+J68+J69+J70+J71+J72+J73+J74+J75+J76+J109+J113+J116+J117+J118+J119+J136+J137+J130+J131+J132+J129</f>
        <v>101282.7</v>
      </c>
      <c r="K147" s="389">
        <f>K8+K9+K13+K14+K31+K33+K34+K55+K56+K57+K61+K62+K65+K66+K67+K68+K69+K70+K71+K72+K73+K74+K75+K76+K109+K113+K116+K117+K118+K119+K136+K137+K130+K131+K132+K129+K107</f>
        <v>96522.60000000002</v>
      </c>
      <c r="L147" s="389">
        <f>L8+L9+L13+L14+L31+L33+L34+L55+L56+L57+L61+L62+L65+L66+L67+L68+L69+L70+L71+L72+L73+L74+L75+L76+L109+L113+L116+L117+L118+L119+L136+L137+L130+L131+L132+L129+L107+L18+L124+L10</f>
        <v>93843.599999999991</v>
      </c>
      <c r="M147" s="389">
        <f>M8+M9+M13+M14+M31+M33+M34+M55+M56+M57+M61+M62+M65+M66+M67+M68+M69+M70+M71+M72+M73+M74+M75+M76+M109+M113+M116+M117+M118+M119+M136+M137+M130+M131+M132+M129+M107+M16+M18+M19</f>
        <v>99156.3</v>
      </c>
      <c r="N147" s="389">
        <f>N8+N13+N14+N26+N34+N41+N47+N49+N51+N57+N62+N68+N69+N113+N117+N138+N143</f>
        <v>79096.100000000006</v>
      </c>
      <c r="O147" s="389">
        <f>O8+O9+O13+O14+O31+O33+O34+O55+O56+O57+O61+O62+O65+O66+O67+O68+O69+O70+O71+O72+O73+O74+O75+O76+O109+O113+O116+O117+O118+O119+O136+O137+O130+O131+O132+O129+O107+O41+O47+O49+O51+O37+O38+O43+O45+O58+O59+O63+O64+O114+O115+O138+O139+O140+O141+O142+O143+O26+O60+0.2</f>
        <v>98411.199999999968</v>
      </c>
      <c r="P147" s="389">
        <f>P8+P9+P13+P14+P31+P33+P34+P55+P56+P57+P61+P62+P65+P66+P67+P68+P69+P70+P71+P72+P73+P74+P75+P76+P109+P113+P116+P117+P118+P119+P136+P137+P130+P131+P132+P129+P107+P41+P47+P49+P51+P37+P38+P43+P45+P58+P59+P63+P64+P114+P115+P138+P139+P140+P141+P142+P143+P36+P26</f>
        <v>86980.5</v>
      </c>
      <c r="Q147" s="389">
        <f>Q8+Q9+Q13+Q14+Q31+Q33+Q34+Q55+Q56+Q57+Q61+Q62+Q65+Q66+Q67+Q68+Q69+Q70+Q71+Q72+Q73+Q74+Q75+Q76+Q109+Q113+Q116+Q117+Q118+Q119+Q136+Q137+Q130+Q131+Q132+Q129+Q107+Q41+Q47+Q49+Q51+Q37+Q38+Q43+Q45+Q58+Q59+Q63+Q64+Q114+Q115+Q138+Q139+Q140+Q141+Q142+Q143+Q36+Q26</f>
        <v>86931.199999999997</v>
      </c>
      <c r="R147" s="328">
        <f t="shared" si="9"/>
        <v>961376.6</v>
      </c>
      <c r="S147" s="392"/>
    </row>
    <row r="148" spans="1:19" s="393" customFormat="1" ht="25.15" customHeight="1" x14ac:dyDescent="0.3">
      <c r="A148" s="387" t="s">
        <v>328</v>
      </c>
      <c r="B148" s="387"/>
      <c r="C148" s="394"/>
      <c r="D148" s="391"/>
      <c r="E148" s="391"/>
      <c r="F148" s="391"/>
      <c r="G148" s="391"/>
      <c r="H148" s="389">
        <f t="shared" ref="H148:N148" si="13">H104+H128</f>
        <v>1824.6</v>
      </c>
      <c r="I148" s="389">
        <f t="shared" si="13"/>
        <v>2151.3000000000002</v>
      </c>
      <c r="J148" s="389">
        <f t="shared" si="13"/>
        <v>2292.8000000000002</v>
      </c>
      <c r="K148" s="389">
        <f t="shared" si="13"/>
        <v>2292.8000000000002</v>
      </c>
      <c r="L148" s="389">
        <f t="shared" si="13"/>
        <v>3110.3</v>
      </c>
      <c r="M148" s="389">
        <f t="shared" si="13"/>
        <v>5682</v>
      </c>
      <c r="N148" s="389">
        <f t="shared" si="13"/>
        <v>6813.2000000000007</v>
      </c>
      <c r="O148" s="389">
        <f>O104+O128</f>
        <v>2927.2999999999997</v>
      </c>
      <c r="P148" s="389">
        <f>P104+P128</f>
        <v>1982.7</v>
      </c>
      <c r="Q148" s="389">
        <f>Q104+Q128</f>
        <v>1982.7</v>
      </c>
      <c r="R148" s="328">
        <f t="shared" si="9"/>
        <v>31059.7</v>
      </c>
      <c r="S148" s="392"/>
    </row>
    <row r="149" spans="1:19" ht="26.45" customHeight="1" x14ac:dyDescent="0.3">
      <c r="A149" s="395" t="s">
        <v>509</v>
      </c>
      <c r="B149" s="395"/>
      <c r="C149" s="395"/>
      <c r="D149" s="396"/>
      <c r="E149" s="396"/>
      <c r="F149" s="396"/>
      <c r="G149" s="396"/>
      <c r="H149" s="397"/>
      <c r="I149" s="397"/>
      <c r="J149" s="397"/>
      <c r="K149" s="397"/>
      <c r="L149" s="397"/>
      <c r="M149" s="397"/>
      <c r="N149" s="397"/>
      <c r="O149" s="398"/>
      <c r="P149" s="397"/>
      <c r="Q149" s="397"/>
      <c r="R149" s="397"/>
      <c r="S149" s="399" t="s">
        <v>160</v>
      </c>
    </row>
    <row r="150" spans="1:19" ht="59.25" customHeight="1" x14ac:dyDescent="0.25">
      <c r="A150" s="400"/>
      <c r="B150" s="401"/>
      <c r="C150" s="300"/>
      <c r="D150" s="402"/>
      <c r="E150" s="300"/>
      <c r="F150" s="300"/>
      <c r="G150" s="403"/>
      <c r="H150" s="300"/>
      <c r="O150" s="404"/>
      <c r="P150" s="404"/>
      <c r="Q150" s="404"/>
    </row>
    <row r="151" spans="1:19" s="34" customFormat="1" ht="24.75" customHeight="1" x14ac:dyDescent="0.25">
      <c r="A151" s="400"/>
      <c r="B151" s="401"/>
      <c r="C151" s="300"/>
      <c r="D151" s="403"/>
      <c r="E151" s="300"/>
      <c r="F151" s="300"/>
      <c r="G151" s="300"/>
      <c r="H151" s="300"/>
      <c r="I151" s="26"/>
      <c r="J151" s="26"/>
      <c r="K151" s="26"/>
      <c r="L151" s="26"/>
      <c r="M151" s="26"/>
      <c r="N151" s="404"/>
      <c r="O151" s="404"/>
      <c r="P151" s="404"/>
      <c r="Q151" s="404"/>
      <c r="R151" s="26"/>
      <c r="S151" s="4"/>
    </row>
    <row r="152" spans="1:19" ht="20.25" customHeight="1" x14ac:dyDescent="0.25">
      <c r="A152" s="400"/>
      <c r="B152" s="401"/>
      <c r="C152" s="300"/>
      <c r="D152" s="300"/>
      <c r="E152" s="300"/>
      <c r="F152" s="300"/>
      <c r="G152" s="300"/>
      <c r="H152" s="300"/>
    </row>
    <row r="153" spans="1:19" s="288" customFormat="1" x14ac:dyDescent="0.25">
      <c r="A153" s="400"/>
      <c r="B153" s="401"/>
      <c r="C153" s="300"/>
      <c r="D153" s="300"/>
      <c r="E153" s="300"/>
      <c r="F153" s="300"/>
      <c r="G153" s="300"/>
      <c r="H153" s="300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4"/>
    </row>
    <row r="154" spans="1:19" s="92" customFormat="1" x14ac:dyDescent="0.25">
      <c r="A154" s="400"/>
      <c r="B154" s="401"/>
      <c r="C154" s="300"/>
      <c r="D154" s="300"/>
      <c r="E154" s="300"/>
      <c r="F154" s="300"/>
      <c r="G154" s="300"/>
      <c r="H154" s="300"/>
      <c r="I154" s="26"/>
      <c r="J154" s="26"/>
      <c r="K154" s="26"/>
      <c r="L154" s="26"/>
      <c r="M154" s="26"/>
      <c r="N154" s="26"/>
      <c r="O154" s="26"/>
      <c r="P154" s="404"/>
      <c r="Q154" s="26"/>
      <c r="R154" s="26"/>
      <c r="S154" s="4"/>
    </row>
    <row r="155" spans="1:19" x14ac:dyDescent="0.25">
      <c r="A155" s="400"/>
      <c r="B155" s="401"/>
      <c r="C155" s="300"/>
      <c r="D155" s="300"/>
      <c r="E155" s="300"/>
      <c r="F155" s="300"/>
      <c r="G155" s="300"/>
      <c r="H155" s="300"/>
      <c r="Q155" s="404"/>
    </row>
    <row r="156" spans="1:19" x14ac:dyDescent="0.25">
      <c r="A156" s="400"/>
      <c r="B156" s="401"/>
      <c r="C156" s="300"/>
      <c r="D156" s="300"/>
      <c r="E156" s="300"/>
      <c r="F156" s="300"/>
      <c r="G156" s="300"/>
      <c r="H156" s="300"/>
    </row>
    <row r="157" spans="1:19" x14ac:dyDescent="0.25">
      <c r="A157" s="400"/>
      <c r="B157" s="401"/>
      <c r="C157" s="300"/>
      <c r="D157" s="300"/>
      <c r="E157" s="300"/>
      <c r="F157" s="300"/>
      <c r="G157" s="300"/>
      <c r="H157" s="300"/>
      <c r="P157" s="404"/>
    </row>
    <row r="158" spans="1:19" x14ac:dyDescent="0.25">
      <c r="A158" s="400"/>
      <c r="B158" s="401"/>
      <c r="C158" s="300"/>
      <c r="D158" s="300"/>
      <c r="E158" s="300"/>
      <c r="F158" s="300"/>
      <c r="G158" s="300"/>
      <c r="H158" s="300"/>
    </row>
    <row r="159" spans="1:19" x14ac:dyDescent="0.25">
      <c r="A159" s="400"/>
      <c r="B159" s="401"/>
      <c r="C159" s="300"/>
      <c r="D159" s="300"/>
      <c r="E159" s="300"/>
      <c r="F159" s="300"/>
      <c r="G159" s="300"/>
      <c r="H159" s="300"/>
      <c r="Q159" s="404"/>
    </row>
    <row r="160" spans="1:19" x14ac:dyDescent="0.25">
      <c r="A160" s="400"/>
      <c r="B160" s="401"/>
      <c r="C160" s="300"/>
      <c r="D160" s="300"/>
      <c r="E160" s="300"/>
      <c r="F160" s="300"/>
      <c r="G160" s="300"/>
      <c r="H160" s="300"/>
    </row>
    <row r="161" spans="1:8" x14ac:dyDescent="0.25">
      <c r="A161" s="400"/>
      <c r="B161" s="401"/>
      <c r="C161" s="300"/>
      <c r="D161" s="300"/>
      <c r="E161" s="300"/>
      <c r="F161" s="300"/>
      <c r="G161" s="300"/>
      <c r="H161" s="300"/>
    </row>
    <row r="162" spans="1:8" x14ac:dyDescent="0.25">
      <c r="A162" s="400"/>
      <c r="B162" s="401"/>
      <c r="C162" s="300"/>
      <c r="D162" s="300"/>
      <c r="E162" s="300"/>
      <c r="F162" s="300"/>
      <c r="G162" s="300"/>
      <c r="H162" s="300"/>
    </row>
    <row r="163" spans="1:8" x14ac:dyDescent="0.25">
      <c r="A163" s="400"/>
      <c r="B163" s="401"/>
      <c r="C163" s="300"/>
      <c r="D163" s="300"/>
      <c r="E163" s="300"/>
      <c r="F163" s="300"/>
      <c r="G163" s="300"/>
      <c r="H163" s="300"/>
    </row>
    <row r="164" spans="1:8" x14ac:dyDescent="0.25">
      <c r="A164" s="400"/>
      <c r="B164" s="401"/>
      <c r="C164" s="300"/>
      <c r="D164" s="300"/>
      <c r="E164" s="300"/>
      <c r="F164" s="300"/>
      <c r="G164" s="300"/>
      <c r="H164" s="300"/>
    </row>
    <row r="165" spans="1:8" x14ac:dyDescent="0.25">
      <c r="A165" s="400"/>
      <c r="B165" s="401"/>
      <c r="C165" s="300"/>
      <c r="D165" s="300"/>
      <c r="E165" s="300"/>
      <c r="F165" s="300"/>
      <c r="G165" s="300"/>
      <c r="H165" s="300"/>
    </row>
    <row r="166" spans="1:8" x14ac:dyDescent="0.25">
      <c r="A166" s="400"/>
      <c r="B166" s="401"/>
      <c r="C166" s="300"/>
      <c r="D166" s="300"/>
      <c r="E166" s="300"/>
      <c r="F166" s="300"/>
      <c r="G166" s="300"/>
      <c r="H166" s="300"/>
    </row>
    <row r="167" spans="1:8" x14ac:dyDescent="0.25">
      <c r="A167" s="400"/>
      <c r="B167" s="401"/>
      <c r="C167" s="300"/>
      <c r="D167" s="300"/>
      <c r="E167" s="300"/>
      <c r="F167" s="300"/>
      <c r="G167" s="300"/>
      <c r="H167" s="300"/>
    </row>
    <row r="168" spans="1:8" x14ac:dyDescent="0.25">
      <c r="A168" s="400"/>
      <c r="B168" s="401"/>
      <c r="C168" s="300"/>
      <c r="D168" s="300"/>
      <c r="E168" s="300"/>
      <c r="F168" s="300"/>
      <c r="G168" s="300"/>
      <c r="H168" s="300"/>
    </row>
    <row r="169" spans="1:8" x14ac:dyDescent="0.25">
      <c r="A169" s="400"/>
      <c r="B169" s="401"/>
      <c r="C169" s="300"/>
      <c r="D169" s="300"/>
      <c r="E169" s="300"/>
      <c r="F169" s="300"/>
      <c r="G169" s="300"/>
      <c r="H169" s="300"/>
    </row>
    <row r="170" spans="1:8" x14ac:dyDescent="0.25">
      <c r="A170" s="400"/>
      <c r="B170" s="401"/>
      <c r="C170" s="300"/>
      <c r="D170" s="300"/>
      <c r="E170" s="300"/>
      <c r="F170" s="300"/>
      <c r="G170" s="300"/>
      <c r="H170" s="300"/>
    </row>
    <row r="171" spans="1:8" x14ac:dyDescent="0.25">
      <c r="A171" s="400"/>
      <c r="B171" s="401"/>
      <c r="C171" s="300"/>
      <c r="D171" s="300"/>
      <c r="E171" s="300"/>
      <c r="F171" s="300"/>
      <c r="G171" s="300"/>
      <c r="H171" s="300"/>
    </row>
    <row r="172" spans="1:8" x14ac:dyDescent="0.25">
      <c r="A172" s="400"/>
      <c r="B172" s="401"/>
      <c r="C172" s="300"/>
      <c r="D172" s="300"/>
      <c r="E172" s="300"/>
      <c r="F172" s="300"/>
      <c r="G172" s="300"/>
      <c r="H172" s="300"/>
    </row>
    <row r="173" spans="1:8" x14ac:dyDescent="0.25">
      <c r="A173" s="400"/>
      <c r="B173" s="401"/>
      <c r="C173" s="300"/>
      <c r="D173" s="300"/>
      <c r="E173" s="300"/>
      <c r="F173" s="300"/>
      <c r="G173" s="300"/>
      <c r="H173" s="300"/>
    </row>
    <row r="174" spans="1:8" x14ac:dyDescent="0.25">
      <c r="A174" s="400"/>
      <c r="B174" s="401"/>
      <c r="C174" s="300"/>
      <c r="D174" s="300"/>
      <c r="E174" s="300"/>
      <c r="F174" s="300"/>
      <c r="G174" s="300"/>
      <c r="H174" s="300"/>
    </row>
    <row r="175" spans="1:8" x14ac:dyDescent="0.25">
      <c r="A175" s="400"/>
      <c r="B175" s="401"/>
      <c r="C175" s="300"/>
      <c r="D175" s="300"/>
      <c r="E175" s="300"/>
      <c r="F175" s="300"/>
      <c r="G175" s="300"/>
      <c r="H175" s="300"/>
    </row>
    <row r="176" spans="1:8" x14ac:dyDescent="0.25">
      <c r="A176" s="400"/>
      <c r="B176" s="401"/>
      <c r="C176" s="300"/>
      <c r="D176" s="300"/>
      <c r="E176" s="300"/>
      <c r="F176" s="300"/>
      <c r="G176" s="300"/>
      <c r="H176" s="300"/>
    </row>
    <row r="177" spans="1:8" x14ac:dyDescent="0.25">
      <c r="A177" s="400"/>
      <c r="B177" s="401"/>
      <c r="C177" s="300"/>
      <c r="D177" s="300"/>
      <c r="E177" s="300"/>
      <c r="F177" s="300"/>
      <c r="G177" s="300"/>
      <c r="H177" s="300"/>
    </row>
    <row r="178" spans="1:8" x14ac:dyDescent="0.25">
      <c r="A178" s="400"/>
      <c r="B178" s="401"/>
      <c r="C178" s="300"/>
      <c r="D178" s="300"/>
      <c r="E178" s="300"/>
      <c r="F178" s="300"/>
      <c r="G178" s="300"/>
      <c r="H178" s="300"/>
    </row>
    <row r="179" spans="1:8" x14ac:dyDescent="0.25">
      <c r="A179" s="400"/>
      <c r="B179" s="401"/>
      <c r="C179" s="300"/>
      <c r="D179" s="300"/>
      <c r="E179" s="300"/>
      <c r="F179" s="300"/>
      <c r="G179" s="300"/>
      <c r="H179" s="300"/>
    </row>
    <row r="180" spans="1:8" x14ac:dyDescent="0.25">
      <c r="A180" s="400"/>
      <c r="B180" s="401"/>
      <c r="C180" s="300"/>
      <c r="D180" s="300"/>
      <c r="E180" s="300"/>
      <c r="F180" s="300"/>
      <c r="G180" s="300"/>
      <c r="H180" s="300"/>
    </row>
    <row r="181" spans="1:8" x14ac:dyDescent="0.25">
      <c r="A181" s="400"/>
      <c r="B181" s="401"/>
      <c r="C181" s="300"/>
      <c r="D181" s="300"/>
      <c r="E181" s="300"/>
      <c r="F181" s="300"/>
      <c r="G181" s="300"/>
      <c r="H181" s="300"/>
    </row>
    <row r="182" spans="1:8" x14ac:dyDescent="0.25">
      <c r="A182" s="400"/>
      <c r="B182" s="401"/>
      <c r="C182" s="300"/>
      <c r="D182" s="300"/>
      <c r="E182" s="300"/>
      <c r="F182" s="300"/>
      <c r="G182" s="300"/>
      <c r="H182" s="300"/>
    </row>
    <row r="183" spans="1:8" x14ac:dyDescent="0.25">
      <c r="A183" s="400"/>
      <c r="B183" s="401"/>
      <c r="C183" s="300"/>
      <c r="D183" s="300"/>
      <c r="E183" s="300"/>
      <c r="F183" s="300"/>
      <c r="G183" s="300"/>
      <c r="H183" s="300"/>
    </row>
    <row r="184" spans="1:8" x14ac:dyDescent="0.25">
      <c r="A184" s="400"/>
      <c r="B184" s="401"/>
      <c r="C184" s="300"/>
      <c r="D184" s="300"/>
      <c r="E184" s="300"/>
      <c r="F184" s="300"/>
      <c r="G184" s="300"/>
      <c r="H184" s="300"/>
    </row>
    <row r="185" spans="1:8" x14ac:dyDescent="0.25">
      <c r="A185" s="400"/>
      <c r="B185" s="401"/>
      <c r="C185" s="300"/>
      <c r="D185" s="300"/>
      <c r="E185" s="300"/>
      <c r="F185" s="300"/>
      <c r="G185" s="300"/>
      <c r="H185" s="300"/>
    </row>
    <row r="186" spans="1:8" x14ac:dyDescent="0.25">
      <c r="A186" s="400"/>
      <c r="B186" s="401"/>
      <c r="C186" s="300"/>
      <c r="D186" s="300"/>
      <c r="E186" s="300"/>
      <c r="F186" s="300"/>
      <c r="G186" s="300"/>
      <c r="H186" s="300"/>
    </row>
  </sheetData>
  <mergeCells count="78">
    <mergeCell ref="A144:B144"/>
    <mergeCell ref="A145:B145"/>
    <mergeCell ref="A146:B146"/>
    <mergeCell ref="A147:B147"/>
    <mergeCell ref="A148:B148"/>
    <mergeCell ref="A149:C149"/>
    <mergeCell ref="A133:A135"/>
    <mergeCell ref="B133:B135"/>
    <mergeCell ref="S133:S135"/>
    <mergeCell ref="A138:A143"/>
    <mergeCell ref="B138:B143"/>
    <mergeCell ref="C138:C142"/>
    <mergeCell ref="A129:A130"/>
    <mergeCell ref="B129:B130"/>
    <mergeCell ref="C129:C130"/>
    <mergeCell ref="S129:S130"/>
    <mergeCell ref="A131:A132"/>
    <mergeCell ref="B131:B132"/>
    <mergeCell ref="C131:C132"/>
    <mergeCell ref="S131:S132"/>
    <mergeCell ref="C80:C103"/>
    <mergeCell ref="A111:B111"/>
    <mergeCell ref="A113:A128"/>
    <mergeCell ref="B113:B126"/>
    <mergeCell ref="C113:C128"/>
    <mergeCell ref="S113:S128"/>
    <mergeCell ref="A48:A49"/>
    <mergeCell ref="A53:B53"/>
    <mergeCell ref="A54:S54"/>
    <mergeCell ref="A55:A76"/>
    <mergeCell ref="B55:B76"/>
    <mergeCell ref="C55:C76"/>
    <mergeCell ref="S55:S104"/>
    <mergeCell ref="B77:B79"/>
    <mergeCell ref="A80:A103"/>
    <mergeCell ref="B80:B103"/>
    <mergeCell ref="S39:S40"/>
    <mergeCell ref="A41:A42"/>
    <mergeCell ref="B41:B42"/>
    <mergeCell ref="C41:C42"/>
    <mergeCell ref="A46:A47"/>
    <mergeCell ref="C46:C47"/>
    <mergeCell ref="A37:A38"/>
    <mergeCell ref="B37:B38"/>
    <mergeCell ref="C37:C38"/>
    <mergeCell ref="A39:A40"/>
    <mergeCell ref="B39:B40"/>
    <mergeCell ref="C39:C40"/>
    <mergeCell ref="S30:S31"/>
    <mergeCell ref="S32:S34"/>
    <mergeCell ref="A33:A34"/>
    <mergeCell ref="B33:B34"/>
    <mergeCell ref="C33:C34"/>
    <mergeCell ref="A35:A36"/>
    <mergeCell ref="B35:B36"/>
    <mergeCell ref="C35:C36"/>
    <mergeCell ref="S35:S36"/>
    <mergeCell ref="A20:A29"/>
    <mergeCell ref="B20:B21"/>
    <mergeCell ref="C20:C29"/>
    <mergeCell ref="S20:S29"/>
    <mergeCell ref="B23:B25"/>
    <mergeCell ref="B28:B29"/>
    <mergeCell ref="A5:S5"/>
    <mergeCell ref="A6:S6"/>
    <mergeCell ref="A8:A14"/>
    <mergeCell ref="B8:B19"/>
    <mergeCell ref="C8:C19"/>
    <mergeCell ref="S8:S19"/>
    <mergeCell ref="I1:J1"/>
    <mergeCell ref="O1:S1"/>
    <mergeCell ref="A2:R2"/>
    <mergeCell ref="A3:A4"/>
    <mergeCell ref="B3:B4"/>
    <mergeCell ref="C3:C4"/>
    <mergeCell ref="D3:G3"/>
    <mergeCell ref="H3:R3"/>
    <mergeCell ref="S3:S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пасп МП</vt:lpstr>
      <vt:lpstr>Прил2 к пасп МП</vt:lpstr>
      <vt:lpstr>Прил1 к МП</vt:lpstr>
      <vt:lpstr>Прил2 к МП</vt:lpstr>
      <vt:lpstr>Прил3 к МП</vt:lpstr>
      <vt:lpstr>Прил1 подпр1</vt:lpstr>
      <vt:lpstr>Прил2 подпр1</vt:lpstr>
      <vt:lpstr>Прил1 подпр2</vt:lpstr>
      <vt:lpstr>Прил2 подпр2</vt:lpstr>
      <vt:lpstr>Прил1 подпр3</vt:lpstr>
      <vt:lpstr>Прил2 подпр3</vt:lpstr>
      <vt:lpstr>Прил1 подпр4</vt:lpstr>
      <vt:lpstr>Прил2 подпр 4</vt:lpstr>
      <vt:lpstr>'Прил1 к пасп МП'!Заголовки_для_печати</vt:lpstr>
      <vt:lpstr>'Прил1 подпр1'!Заголовки_для_печати</vt:lpstr>
      <vt:lpstr>'Прил1 подпр2'!Заголовки_для_печати</vt:lpstr>
      <vt:lpstr>'Прил2 к МП'!Заголовки_для_печати</vt:lpstr>
      <vt:lpstr>'Прил2 к пасп МП'!Заголовки_для_печати</vt:lpstr>
      <vt:lpstr>'Прил2 подпр 4'!Заголовки_для_печати</vt:lpstr>
      <vt:lpstr>'Прил2 подпр1'!Заголовки_для_печати</vt:lpstr>
      <vt:lpstr>'Прил2 подпр2'!Заголовки_для_печати</vt:lpstr>
      <vt:lpstr>'Прил2 подпр3'!Заголовки_для_печати</vt:lpstr>
      <vt:lpstr>'Прил3 к МП'!Заголовки_для_печати</vt:lpstr>
      <vt:lpstr>'Прил1 к пасп МП'!Область_печати</vt:lpstr>
      <vt:lpstr>'Прил1 подпр1'!Область_печати</vt:lpstr>
      <vt:lpstr>'Прил1 подпр2'!Область_печати</vt:lpstr>
      <vt:lpstr>'Прил1 подпр3'!Область_печати</vt:lpstr>
      <vt:lpstr>'Прил1 подпр4'!Область_печати</vt:lpstr>
      <vt:lpstr>'Прил2 к МП'!Область_печати</vt:lpstr>
      <vt:lpstr>'Прил2 к пасп МП'!Область_печати</vt:lpstr>
      <vt:lpstr>'Прил2 подпр 4'!Область_печати</vt:lpstr>
      <vt:lpstr>'Прил2 подпр2'!Область_печати</vt:lpstr>
      <vt:lpstr>'Прил2 подпр3'!Область_печати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2021-07-09T09:25:57Z</dcterms:created>
  <dcterms:modified xsi:type="dcterms:W3CDTF">2021-07-09T09:41:56Z</dcterms:modified>
</cp:coreProperties>
</file>