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!!_ПРОГРАММЫ и СТРАТЕГИИ\!!_МП СистОбраз г.Дивногорска_2014-2024\!!!_МЦП_2014-2021_Действующая\!!!_ИЗМЕНЕНИЯ в МП\2022-08-ХХ_изм.МП ГС 29.06.2022\"/>
    </mc:Choice>
  </mc:AlternateContent>
  <bookViews>
    <workbookView xWindow="0" yWindow="0" windowWidth="28800" windowHeight="12330" firstSheet="7" activeTab="12"/>
  </bookViews>
  <sheets>
    <sheet name="Прил1 к пасп МП" sheetId="4" r:id="rId1"/>
    <sheet name="Прил2 к пасп МП" sheetId="5" r:id="rId2"/>
    <sheet name="Прил1 к МП" sheetId="1" r:id="rId3"/>
    <sheet name="Прил2 к МП" sheetId="2" r:id="rId4"/>
    <sheet name="Прил3 к МП" sheetId="3" r:id="rId5"/>
    <sheet name="Прил1 к пасп подпр1" sheetId="6" r:id="rId6"/>
    <sheet name="Прил2 к пасп подпр1" sheetId="7" r:id="rId7"/>
    <sheet name="Прил1 к пасп подпр2" sheetId="8" r:id="rId8"/>
    <sheet name="Прил2 к пасп подпр2" sheetId="9" r:id="rId9"/>
    <sheet name="Прил1 к пасп подпр3" sheetId="10" r:id="rId10"/>
    <sheet name="Прил2 к пасп подпр3" sheetId="11" r:id="rId11"/>
    <sheet name="Прил1 к пасп подпр4" sheetId="12" r:id="rId12"/>
    <sheet name="Прил2 к пасп подпр4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6" hidden="1">'Прил2 к пасп подпр1'!$A$4:$W$66</definedName>
    <definedName name="_xlnm._FilterDatabase" localSheetId="8" hidden="1">'Прил2 к пасп подпр2'!$A$1:$W$157</definedName>
    <definedName name="_xlnm._FilterDatabase" localSheetId="10" hidden="1">'Прил2 к пасп подпр3'!$A$4:$U$35</definedName>
    <definedName name="Z_2166B299_1DBB_4BE8_98C9_E9EFB21DCA26_.wvu.FilterData" localSheetId="6" hidden="1">'Прил2 к пасп подпр1'!$A$4:$W$66</definedName>
    <definedName name="Z_2166B299_1DBB_4BE8_98C9_E9EFB21DCA26_.wvu.FilterData" localSheetId="8" hidden="1">'Прил2 к пасп подпр2'!$A$4:$W$157</definedName>
    <definedName name="Z_2166B299_1DBB_4BE8_98C9_E9EFB21DCA26_.wvu.FilterData" localSheetId="10" hidden="1">'Прил2 к пасп подпр3'!$A$4:$U$35</definedName>
    <definedName name="Z_2715DACA_7FC2_4162_875B_92B3FB82D8B1_.wvu.FilterData" localSheetId="6" hidden="1">'Прил2 к пасп подпр1'!$A$4:$W$66</definedName>
    <definedName name="Z_2715DACA_7FC2_4162_875B_92B3FB82D8B1_.wvu.FilterData" localSheetId="8" hidden="1">'Прил2 к пасп подпр2'!$A$4:$W$157</definedName>
    <definedName name="Z_2715DACA_7FC2_4162_875B_92B3FB82D8B1_.wvu.FilterData" localSheetId="10" hidden="1">'Прил2 к пасп подпр3'!$A$4:$U$35</definedName>
    <definedName name="Z_29BFB567_1C85_481C_A8AF_8210D8E0792F_.wvu.FilterData" localSheetId="6" hidden="1">'Прил2 к пасп подпр1'!$A$4:$W$66</definedName>
    <definedName name="Z_29BFB567_1C85_481C_A8AF_8210D8E0792F_.wvu.FilterData" localSheetId="8" hidden="1">'Прил2 к пасп подпр2'!$A$4:$W$157</definedName>
    <definedName name="Z_29BFB567_1C85_481C_A8AF_8210D8E0792F_.wvu.FilterData" localSheetId="10" hidden="1">'Прил2 к пасп подпр3'!$A$4:$U$35</definedName>
    <definedName name="Z_4767DD30_F6FB_4FF0_A429_8866A8232500_.wvu.Cols" localSheetId="0" hidden="1">'Прил1 к пасп МП'!$F:$F</definedName>
    <definedName name="Z_4767DD30_F6FB_4FF0_A429_8866A8232500_.wvu.Cols" localSheetId="5" hidden="1">'Прил1 к пасп подпр1'!$D:$D</definedName>
    <definedName name="Z_4767DD30_F6FB_4FF0_A429_8866A8232500_.wvu.Cols" localSheetId="7" hidden="1">'Прил1 к пасп подпр2'!$D:$D</definedName>
    <definedName name="Z_4767DD30_F6FB_4FF0_A429_8866A8232500_.wvu.Cols" localSheetId="9" hidden="1">'Прил1 к пасп подпр3'!$C:$C</definedName>
    <definedName name="Z_4767DD30_F6FB_4FF0_A429_8866A8232500_.wvu.Cols" localSheetId="1" hidden="1">'Прил2 к пасп МП'!$D:$E</definedName>
    <definedName name="Z_4767DD30_F6FB_4FF0_A429_8866A8232500_.wvu.FilterData" localSheetId="6" hidden="1">'Прил2 к пасп подпр1'!$A$4:$W$66</definedName>
    <definedName name="Z_4767DD30_F6FB_4FF0_A429_8866A8232500_.wvu.FilterData" localSheetId="8" hidden="1">'Прил2 к пасп подпр2'!$A$4:$W$157</definedName>
    <definedName name="Z_4767DD30_F6FB_4FF0_A429_8866A8232500_.wvu.FilterData" localSheetId="10" hidden="1">'Прил2 к пасп подпр3'!$A$4:$U$35</definedName>
    <definedName name="Z_4767DD30_F6FB_4FF0_A429_8866A8232500_.wvu.PrintArea" localSheetId="0" hidden="1">'Прил1 к пасп МП'!$A$1:$M$76</definedName>
    <definedName name="Z_4767DD30_F6FB_4FF0_A429_8866A8232500_.wvu.PrintArea" localSheetId="5" hidden="1">'Прил1 к пасп подпр1'!$A$1:$J$13</definedName>
    <definedName name="Z_4767DD30_F6FB_4FF0_A429_8866A8232500_.wvu.PrintArea" localSheetId="7" hidden="1">'Прил1 к пасп подпр2'!$A$1:$J$36</definedName>
    <definedName name="Z_4767DD30_F6FB_4FF0_A429_8866A8232500_.wvu.PrintArea" localSheetId="9" hidden="1">'Прил1 к пасп подпр3'!$A$1:$H$4</definedName>
    <definedName name="Z_4767DD30_F6FB_4FF0_A429_8866A8232500_.wvu.PrintArea" localSheetId="11" hidden="1">'Прил1 к пасп подпр4'!$A$1:$K$33</definedName>
    <definedName name="Z_4767DD30_F6FB_4FF0_A429_8866A8232500_.wvu.PrintArea" localSheetId="3" hidden="1">'Прил2 к МП'!$A$1:$O$33</definedName>
    <definedName name="Z_4767DD30_F6FB_4FF0_A429_8866A8232500_.wvu.PrintArea" localSheetId="1" hidden="1">'Прил2 к пасп МП'!$A$1:$Q$10</definedName>
    <definedName name="Z_4767DD30_F6FB_4FF0_A429_8866A8232500_.wvu.PrintArea" localSheetId="6" hidden="1">'Прил2 к пасп подпр1'!$A$1:$T$72</definedName>
    <definedName name="Z_4767DD30_F6FB_4FF0_A429_8866A8232500_.wvu.PrintArea" localSheetId="8" hidden="1">'Прил2 к пасп подпр2'!$A$1:$T$154</definedName>
    <definedName name="Z_4767DD30_F6FB_4FF0_A429_8866A8232500_.wvu.PrintArea" localSheetId="10" hidden="1">'Прил2 к пасп подпр3'!$A$1:$T$40</definedName>
    <definedName name="Z_4767DD30_F6FB_4FF0_A429_8866A8232500_.wvu.PrintArea" localSheetId="12" hidden="1">'Прил2 к пасп подпр4'!$A$1:$T$65</definedName>
    <definedName name="Z_4767DD30_F6FB_4FF0_A429_8866A8232500_.wvu.PrintTitles" localSheetId="0" hidden="1">'Прил1 к пасп МП'!$3:$5</definedName>
    <definedName name="Z_4767DD30_F6FB_4FF0_A429_8866A8232500_.wvu.PrintTitles" localSheetId="5" hidden="1">'Прил1 к пасп подпр1'!$3:$5</definedName>
    <definedName name="Z_4767DD30_F6FB_4FF0_A429_8866A8232500_.wvu.PrintTitles" localSheetId="7" hidden="1">'Прил1 к пасп подпр2'!$3:$5</definedName>
    <definedName name="Z_4767DD30_F6FB_4FF0_A429_8866A8232500_.wvu.PrintTitles" localSheetId="9" hidden="1">'Прил1 к пасп подпр3'!#REF!</definedName>
    <definedName name="Z_4767DD30_F6FB_4FF0_A429_8866A8232500_.wvu.PrintTitles" localSheetId="3" hidden="1">'Прил2 к МП'!$3:$4</definedName>
    <definedName name="Z_4767DD30_F6FB_4FF0_A429_8866A8232500_.wvu.PrintTitles" localSheetId="1" hidden="1">'Прил2 к пасп МП'!$3:$4</definedName>
    <definedName name="Z_4767DD30_F6FB_4FF0_A429_8866A8232500_.wvu.PrintTitles" localSheetId="6" hidden="1">'Прил2 к пасп подпр1'!$3:$4</definedName>
    <definedName name="Z_4767DD30_F6FB_4FF0_A429_8866A8232500_.wvu.PrintTitles" localSheetId="8" hidden="1">'Прил2 к пасп подпр2'!$3:$4</definedName>
    <definedName name="Z_4767DD30_F6FB_4FF0_A429_8866A8232500_.wvu.PrintTitles" localSheetId="10" hidden="1">'Прил2 к пасп подпр3'!$3:$4</definedName>
    <definedName name="Z_4767DD30_F6FB_4FF0_A429_8866A8232500_.wvu.PrintTitles" localSheetId="12" hidden="1">'Прил2 к пасп подпр4'!$3:$4</definedName>
    <definedName name="Z_4767DD30_F6FB_4FF0_A429_8866A8232500_.wvu.Rows" localSheetId="6" hidden="1">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</definedName>
    <definedName name="Z_4767DD30_F6FB_4FF0_A429_8866A8232500_.wvu.Rows" localSheetId="8" hidden="1">'Прил2 к пасп подпр2'!#REF!,'Прил2 к пасп подпр2'!#REF!,'Прил2 к пасп подпр2'!#REF!,'Прил2 к пасп подпр2'!$112:$112,'Прил2 к пасп подпр2'!#REF!,'Прил2 к пасп подпр2'!#REF!,'Прил2 к пасп подпр2'!#REF!,'Прил2 к пасп подпр2'!#REF!,'Прил2 к пасп подпр2'!#REF!</definedName>
    <definedName name="Z_4767DD30_F6FB_4FF0_A429_8866A8232500_.wvu.Rows" localSheetId="10" hidden="1">'Прил2 к пасп подпр3'!#REF!,'Прил2 к пасп подпр3'!#REF!,'Прил2 к пасп подпр3'!$6:$6,'Прил2 к пасп подпр3'!#REF!,'Прил2 к пасп подпр3'!#REF!,'Прил2 к пасп подпр3'!#REF!,'Прил2 к пасп подпр3'!#REF!,'Прил2 к пасп подпр3'!#REF!,'Прил2 к пасп подпр3'!#REF!</definedName>
    <definedName name="Z_4767DD30_F6FB_4FF0_A429_8866A8232500_.wvu.Rows" localSheetId="12" hidden="1">'Прил2 к пасп подпр4'!#REF!,'Прил2 к пасп подпр4'!#REF!</definedName>
    <definedName name="Z_484BD7FD_1D3D_4528_954E_A98D5B59AC9C_.wvu.FilterData" localSheetId="6" hidden="1">'Прил2 к пасп подпр1'!$A$4:$W$66</definedName>
    <definedName name="Z_484BD7FD_1D3D_4528_954E_A98D5B59AC9C_.wvu.FilterData" localSheetId="8" hidden="1">'Прил2 к пасп подпр2'!$A$4:$W$157</definedName>
    <definedName name="Z_484BD7FD_1D3D_4528_954E_A98D5B59AC9C_.wvu.FilterData" localSheetId="10" hidden="1">'Прил2 к пасп подпр3'!$A$4:$U$35</definedName>
    <definedName name="Z_7C917F30_361A_4C86_9002_2134EAE2E3CF_.wvu.Cols" localSheetId="5" hidden="1">'Прил1 к пасп подпр1'!$D:$D</definedName>
    <definedName name="Z_7C917F30_361A_4C86_9002_2134EAE2E3CF_.wvu.Cols" localSheetId="7" hidden="1">'Прил1 к пасп подпр2'!$D:$D</definedName>
    <definedName name="Z_7C917F30_361A_4C86_9002_2134EAE2E3CF_.wvu.Cols" localSheetId="9" hidden="1">'Прил1 к пасп подпр3'!$C:$C</definedName>
    <definedName name="Z_7C917F30_361A_4C86_9002_2134EAE2E3CF_.wvu.FilterData" localSheetId="6" hidden="1">'Прил2 к пасп подпр1'!$A$4:$W$66</definedName>
    <definedName name="Z_7C917F30_361A_4C86_9002_2134EAE2E3CF_.wvu.FilterData" localSheetId="8" hidden="1">'Прил2 к пасп подпр2'!$A$4:$W$157</definedName>
    <definedName name="Z_7C917F30_361A_4C86_9002_2134EAE2E3CF_.wvu.FilterData" localSheetId="10" hidden="1">'Прил2 к пасп подпр3'!$A$4:$U$35</definedName>
    <definedName name="Z_7C917F30_361A_4C86_9002_2134EAE2E3CF_.wvu.PrintArea" localSheetId="5" hidden="1">'Прил1 к пасп подпр1'!$A$1:$J$13</definedName>
    <definedName name="Z_7C917F30_361A_4C86_9002_2134EAE2E3CF_.wvu.PrintArea" localSheetId="7" hidden="1">'Прил1 к пасп подпр2'!$A$1:$J$36</definedName>
    <definedName name="Z_7C917F30_361A_4C86_9002_2134EAE2E3CF_.wvu.PrintArea" localSheetId="9" hidden="1">'Прил1 к пасп подпр3'!$A$1:$H$4</definedName>
    <definedName name="Z_7C917F30_361A_4C86_9002_2134EAE2E3CF_.wvu.PrintArea" localSheetId="11" hidden="1">'Прил1 к пасп подпр4'!$A$1:$K$33</definedName>
    <definedName name="Z_7C917F30_361A_4C86_9002_2134EAE2E3CF_.wvu.PrintArea" localSheetId="3" hidden="1">'Прил2 к МП'!$A$1:$O$33</definedName>
    <definedName name="Z_7C917F30_361A_4C86_9002_2134EAE2E3CF_.wvu.PrintArea" localSheetId="6" hidden="1">'Прил2 к пасп подпр1'!$A$1:$T$72</definedName>
    <definedName name="Z_7C917F30_361A_4C86_9002_2134EAE2E3CF_.wvu.PrintArea" localSheetId="8" hidden="1">'Прил2 к пасп подпр2'!$A$1:$T$154</definedName>
    <definedName name="Z_7C917F30_361A_4C86_9002_2134EAE2E3CF_.wvu.PrintArea" localSheetId="10" hidden="1">'Прил2 к пасп подпр3'!$A$1:$T$40</definedName>
    <definedName name="Z_7C917F30_361A_4C86_9002_2134EAE2E3CF_.wvu.PrintTitles" localSheetId="5" hidden="1">'Прил1 к пасп подпр1'!$3:$5</definedName>
    <definedName name="Z_7C917F30_361A_4C86_9002_2134EAE2E3CF_.wvu.PrintTitles" localSheetId="7" hidden="1">'Прил1 к пасп подпр2'!$3:$5</definedName>
    <definedName name="Z_7C917F30_361A_4C86_9002_2134EAE2E3CF_.wvu.PrintTitles" localSheetId="9" hidden="1">'Прил1 к пасп подпр3'!#REF!</definedName>
    <definedName name="Z_7C917F30_361A_4C86_9002_2134EAE2E3CF_.wvu.PrintTitles" localSheetId="3" hidden="1">'Прил2 к МП'!$3:$4</definedName>
    <definedName name="Z_7C917F30_361A_4C86_9002_2134EAE2E3CF_.wvu.PrintTitles" localSheetId="6" hidden="1">'Прил2 к пасп подпр1'!$3:$4</definedName>
    <definedName name="Z_7C917F30_361A_4C86_9002_2134EAE2E3CF_.wvu.PrintTitles" localSheetId="8" hidden="1">'Прил2 к пасп подпр2'!$3:$4</definedName>
    <definedName name="Z_7C917F30_361A_4C86_9002_2134EAE2E3CF_.wvu.PrintTitles" localSheetId="10" hidden="1">'Прил2 к пасп подпр3'!$3:$4</definedName>
    <definedName name="Z_7C917F30_361A_4C86_9002_2134EAE2E3CF_.wvu.PrintTitles" localSheetId="12" hidden="1">'Прил2 к пасп подпр4'!$3:$4</definedName>
    <definedName name="Z_7C917F30_361A_4C86_9002_2134EAE2E3CF_.wvu.Rows" localSheetId="6" hidden="1">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</definedName>
    <definedName name="Z_7C917F30_361A_4C86_9002_2134EAE2E3CF_.wvu.Rows" localSheetId="8" hidden="1">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</definedName>
    <definedName name="Z_7C917F30_361A_4C86_9002_2134EAE2E3CF_.wvu.Rows" localSheetId="10" hidden="1">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</definedName>
    <definedName name="Z_7C917F30_361A_4C86_9002_2134EAE2E3CF_.wvu.Rows" localSheetId="12" hidden="1">'Прил2 к пасп подпр4'!#REF!,'Прил2 к пасп подпр4'!#REF!</definedName>
    <definedName name="Z_81F2AFB8_21DA_4513_90AB_0A09D7D72D56_.wvu.FilterData" localSheetId="6" hidden="1">'Прил2 к пасп подпр1'!$A$4:$W$66</definedName>
    <definedName name="Z_81F2AFB8_21DA_4513_90AB_0A09D7D72D56_.wvu.FilterData" localSheetId="8" hidden="1">'Прил2 к пасп подпр2'!$A$4:$W$157</definedName>
    <definedName name="Z_81F2AFB8_21DA_4513_90AB_0A09D7D72D56_.wvu.FilterData" localSheetId="10" hidden="1">'Прил2 к пасп подпр3'!$A$4:$U$35</definedName>
    <definedName name="Z_AD6F79BD_847B_4421_A1AA_268A55FACAB4_.wvu.FilterData" localSheetId="6" hidden="1">'Прил2 к пасп подпр1'!$A$4:$W$66</definedName>
    <definedName name="Z_AD6F79BD_847B_4421_A1AA_268A55FACAB4_.wvu.FilterData" localSheetId="8" hidden="1">'Прил2 к пасп подпр2'!$A$4:$W$157</definedName>
    <definedName name="Z_AD6F79BD_847B_4421_A1AA_268A55FACAB4_.wvu.FilterData" localSheetId="10" hidden="1">'Прил2 к пасп подпр3'!$A$4:$U$35</definedName>
    <definedName name="Z_B45C2115_52AF_4E7B_8578_551FB3CF371E_.wvu.FilterData" localSheetId="6" hidden="1">'Прил2 к пасп подпр1'!$A$4:$W$66</definedName>
    <definedName name="Z_B45C2115_52AF_4E7B_8578_551FB3CF371E_.wvu.FilterData" localSheetId="8" hidden="1">'Прил2 к пасп подпр2'!$A$4:$W$157</definedName>
    <definedName name="Z_B45C2115_52AF_4E7B_8578_551FB3CF371E_.wvu.FilterData" localSheetId="10" hidden="1">'Прил2 к пасп подпр3'!$A$4:$U$35</definedName>
    <definedName name="Z_C75D4C66_EC35_48DB_8FCD_E29923CDB091_.wvu.FilterData" localSheetId="6" hidden="1">'Прил2 к пасп подпр1'!$A$4:$W$66</definedName>
    <definedName name="Z_C75D4C66_EC35_48DB_8FCD_E29923CDB091_.wvu.FilterData" localSheetId="8" hidden="1">'Прил2 к пасп подпр2'!$A$4:$W$157</definedName>
    <definedName name="Z_C75D4C66_EC35_48DB_8FCD_E29923CDB091_.wvu.FilterData" localSheetId="10" hidden="1">'Прил2 к пасп подпр3'!$A$4:$U$35</definedName>
    <definedName name="Z_CDE1D6F6_68DF_42F8_B01A_FF6465B24CCD_.wvu.Cols" localSheetId="5" hidden="1">'Прил1 к пасп подпр1'!$D:$D</definedName>
    <definedName name="Z_CDE1D6F6_68DF_42F8_B01A_FF6465B24CCD_.wvu.Cols" localSheetId="7" hidden="1">'Прил1 к пасп подпр2'!$D:$D</definedName>
    <definedName name="Z_CDE1D6F6_68DF_42F8_B01A_FF6465B24CCD_.wvu.Cols" localSheetId="9" hidden="1">'Прил1 к пасп подпр3'!$C:$C</definedName>
    <definedName name="Z_CDE1D6F6_68DF_42F8_B01A_FF6465B24CCD_.wvu.FilterData" localSheetId="6" hidden="1">'Прил2 к пасп подпр1'!$A$4:$W$66</definedName>
    <definedName name="Z_CDE1D6F6_68DF_42F8_B01A_FF6465B24CCD_.wvu.FilterData" localSheetId="8" hidden="1">'Прил2 к пасп подпр2'!$A$4:$W$157</definedName>
    <definedName name="Z_CDE1D6F6_68DF_42F8_B01A_FF6465B24CCD_.wvu.FilterData" localSheetId="10" hidden="1">'Прил2 к пасп подпр3'!$A$4:$U$35</definedName>
    <definedName name="Z_CDE1D6F6_68DF_42F8_B01A_FF6465B24CCD_.wvu.PrintArea" localSheetId="5" hidden="1">'Прил1 к пасп подпр1'!$A$1:$J$13</definedName>
    <definedName name="Z_CDE1D6F6_68DF_42F8_B01A_FF6465B24CCD_.wvu.PrintArea" localSheetId="7" hidden="1">'Прил1 к пасп подпр2'!$A$1:$J$36</definedName>
    <definedName name="Z_CDE1D6F6_68DF_42F8_B01A_FF6465B24CCD_.wvu.PrintArea" localSheetId="9" hidden="1">'Прил1 к пасп подпр3'!$A$1:$H$4</definedName>
    <definedName name="Z_CDE1D6F6_68DF_42F8_B01A_FF6465B24CCD_.wvu.PrintArea" localSheetId="11" hidden="1">'Прил1 к пасп подпр4'!$A$1:$K$33</definedName>
    <definedName name="Z_CDE1D6F6_68DF_42F8_B01A_FF6465B24CCD_.wvu.PrintArea" localSheetId="3" hidden="1">'Прил2 к МП'!$A$1:$O$33</definedName>
    <definedName name="Z_CDE1D6F6_68DF_42F8_B01A_FF6465B24CCD_.wvu.PrintArea" localSheetId="6" hidden="1">'Прил2 к пасп подпр1'!$A$1:$T$72</definedName>
    <definedName name="Z_CDE1D6F6_68DF_42F8_B01A_FF6465B24CCD_.wvu.PrintArea" localSheetId="8" hidden="1">'Прил2 к пасп подпр2'!$A$1:$T$154</definedName>
    <definedName name="Z_CDE1D6F6_68DF_42F8_B01A_FF6465B24CCD_.wvu.PrintArea" localSheetId="10" hidden="1">'Прил2 к пасп подпр3'!$A$1:$T$40</definedName>
    <definedName name="Z_CDE1D6F6_68DF_42F8_B01A_FF6465B24CCD_.wvu.PrintArea" localSheetId="12" hidden="1">'Прил2 к пасп подпр4'!$A$1:$T$65</definedName>
    <definedName name="Z_CDE1D6F6_68DF_42F8_B01A_FF6465B24CCD_.wvu.PrintTitles" localSheetId="5" hidden="1">'Прил1 к пасп подпр1'!$3:$5</definedName>
    <definedName name="Z_CDE1D6F6_68DF_42F8_B01A_FF6465B24CCD_.wvu.PrintTitles" localSheetId="7" hidden="1">'Прил1 к пасп подпр2'!$3:$5</definedName>
    <definedName name="Z_CDE1D6F6_68DF_42F8_B01A_FF6465B24CCD_.wvu.PrintTitles" localSheetId="9" hidden="1">'Прил1 к пасп подпр3'!#REF!</definedName>
    <definedName name="Z_CDE1D6F6_68DF_42F8_B01A_FF6465B24CCD_.wvu.PrintTitles" localSheetId="3" hidden="1">'Прил2 к МП'!$3:$4</definedName>
    <definedName name="Z_CDE1D6F6_68DF_42F8_B01A_FF6465B24CCD_.wvu.PrintTitles" localSheetId="6" hidden="1">'Прил2 к пасп подпр1'!$3:$4</definedName>
    <definedName name="Z_CDE1D6F6_68DF_42F8_B01A_FF6465B24CCD_.wvu.PrintTitles" localSheetId="8" hidden="1">'Прил2 к пасп подпр2'!$3:$4</definedName>
    <definedName name="Z_CDE1D6F6_68DF_42F8_B01A_FF6465B24CCD_.wvu.PrintTitles" localSheetId="10" hidden="1">'Прил2 к пасп подпр3'!$3:$4</definedName>
    <definedName name="Z_CDE1D6F6_68DF_42F8_B01A_FF6465B24CCD_.wvu.PrintTitles" localSheetId="12" hidden="1">'Прил2 к пасп подпр4'!$3:$4</definedName>
    <definedName name="Z_CDE1D6F6_68DF_42F8_B01A_FF6465B24CCD_.wvu.Rows" localSheetId="12" hidden="1">'Прил2 к пасп подпр4'!#REF!,'Прил2 к пасп подпр4'!#REF!</definedName>
    <definedName name="Z_D97B14A5_4ECD_4EB7_B8A7_D41E462F19A2_.wvu.FilterData" localSheetId="6" hidden="1">'Прил2 к пасп подпр1'!$A$4:$W$66</definedName>
    <definedName name="Z_D97B14A5_4ECD_4EB7_B8A7_D41E462F19A2_.wvu.FilterData" localSheetId="8" hidden="1">'Прил2 к пасп подпр2'!$A$4:$W$157</definedName>
    <definedName name="Z_D97B14A5_4ECD_4EB7_B8A7_D41E462F19A2_.wvu.FilterData" localSheetId="10" hidden="1">'Прил2 к пасп подпр3'!$A$4:$U$35</definedName>
    <definedName name="Z_FAC3C627_8E23_41AB_B3FB_95B33614D8DB_.wvu.FilterData" localSheetId="6" hidden="1">'Прил2 к пасп подпр1'!$A$4:$W$66</definedName>
    <definedName name="Z_FAC3C627_8E23_41AB_B3FB_95B33614D8DB_.wvu.FilterData" localSheetId="8" hidden="1">'Прил2 к пасп подпр2'!$A$4:$W$157</definedName>
    <definedName name="Z_FAC3C627_8E23_41AB_B3FB_95B33614D8DB_.wvu.FilterData" localSheetId="10" hidden="1">'Прил2 к пасп подпр3'!$A$4:$U$35</definedName>
    <definedName name="_xlnm.Print_Titles" localSheetId="0">'Прил1 к пасп МП'!$3:$5</definedName>
    <definedName name="_xlnm.Print_Titles" localSheetId="5">'Прил1 к пасп подпр1'!$3:$5</definedName>
    <definedName name="_xlnm.Print_Titles" localSheetId="7">'Прил1 к пасп подпр2'!$3:$5</definedName>
    <definedName name="_xlnm.Print_Titles" localSheetId="9">'Прил1 к пасп подпр3'!#REF!</definedName>
    <definedName name="_xlnm.Print_Titles" localSheetId="3">'Прил2 к МП'!$3:$4</definedName>
    <definedName name="_xlnm.Print_Titles" localSheetId="1">'Прил2 к пасп МП'!$3:$4</definedName>
    <definedName name="_xlnm.Print_Titles" localSheetId="6">'Прил2 к пасп подпр1'!$3:$4</definedName>
    <definedName name="_xlnm.Print_Titles" localSheetId="8">'Прил2 к пасп подпр2'!$3:$4</definedName>
    <definedName name="_xlnm.Print_Titles" localSheetId="10">'Прил2 к пасп подпр3'!$3:$4</definedName>
    <definedName name="_xlnm.Print_Titles" localSheetId="12">'Прил2 к пасп подпр4'!$3:$4</definedName>
    <definedName name="_xlnm.Print_Area" localSheetId="0">'Прил1 к пасп МП'!$A$1:$Q$76</definedName>
    <definedName name="_xlnm.Print_Area" localSheetId="5">'Прил1 к пасп подпр1'!$A$1:$O$13</definedName>
    <definedName name="_xlnm.Print_Area" localSheetId="7">'Прил1 к пасп подпр2'!$A$1:$O$36</definedName>
    <definedName name="_xlnm.Print_Area" localSheetId="9">'Прил1 к пасп подпр3'!$A$1:$P$13</definedName>
    <definedName name="_xlnm.Print_Area" localSheetId="11">'Прил1 к пасп подпр4'!$A$1:$O$29</definedName>
    <definedName name="_xlnm.Print_Area" localSheetId="3">'Прил2 к МП'!$A$1:$O$33</definedName>
    <definedName name="_xlnm.Print_Area" localSheetId="1">'Прил2 к пасп МП'!$A$1:$Q$10</definedName>
    <definedName name="_xlnm.Print_Area" localSheetId="8">'Прил2 к пасп подпр2'!$A$1:$T$154</definedName>
    <definedName name="_xlnm.Print_Area" localSheetId="10">'Прил2 к пасп подпр3'!$A$1:$T$40</definedName>
    <definedName name="_xlnm.Print_Area" localSheetId="12">'Прил2 к пасп подпр4'!$A$1:$T$65</definedName>
    <definedName name="_xlnm.Print_Area" localSheetId="4">'Прил3 к МП'!$A$1:$Y$35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2" i="13" l="1"/>
  <c r="P62" i="13"/>
  <c r="N60" i="13"/>
  <c r="N63" i="13" s="1"/>
  <c r="M60" i="13"/>
  <c r="M63" i="13" s="1"/>
  <c r="L60" i="13"/>
  <c r="L63" i="13" s="1"/>
  <c r="J60" i="13"/>
  <c r="J63" i="13" s="1"/>
  <c r="I60" i="13"/>
  <c r="I63" i="13" s="1"/>
  <c r="H60" i="13"/>
  <c r="S60" i="13" s="1"/>
  <c r="O59" i="13"/>
  <c r="O60" i="13" s="1"/>
  <c r="O63" i="13" s="1"/>
  <c r="K59" i="13"/>
  <c r="K60" i="13" s="1"/>
  <c r="K63" i="13" s="1"/>
  <c r="R58" i="13"/>
  <c r="Q58" i="13"/>
  <c r="S58" i="13" s="1"/>
  <c r="P57" i="13"/>
  <c r="Q57" i="13" s="1"/>
  <c r="S56" i="13"/>
  <c r="R56" i="13"/>
  <c r="Q55" i="13"/>
  <c r="Q60" i="13" s="1"/>
  <c r="R54" i="13"/>
  <c r="R60" i="13" s="1"/>
  <c r="P54" i="13"/>
  <c r="P60" i="13" s="1"/>
  <c r="Q51" i="13"/>
  <c r="R51" i="13" s="1"/>
  <c r="S51" i="13" s="1"/>
  <c r="N51" i="13"/>
  <c r="S50" i="13"/>
  <c r="N50" i="13"/>
  <c r="Q49" i="13"/>
  <c r="P49" i="13"/>
  <c r="R48" i="13"/>
  <c r="P48" i="13"/>
  <c r="S48" i="13" s="1"/>
  <c r="R47" i="13"/>
  <c r="Q47" i="13"/>
  <c r="S47" i="13" s="1"/>
  <c r="Q46" i="13"/>
  <c r="R46" i="13" s="1"/>
  <c r="S46" i="13" s="1"/>
  <c r="R45" i="13"/>
  <c r="S45" i="13" s="1"/>
  <c r="Q45" i="13"/>
  <c r="S44" i="13"/>
  <c r="R44" i="13"/>
  <c r="Q43" i="13"/>
  <c r="R43" i="13" s="1"/>
  <c r="S43" i="13" s="1"/>
  <c r="R42" i="13"/>
  <c r="S42" i="13" s="1"/>
  <c r="P42" i="13"/>
  <c r="Q41" i="13"/>
  <c r="P41" i="13"/>
  <c r="Q40" i="13"/>
  <c r="P40" i="13"/>
  <c r="S39" i="13"/>
  <c r="P38" i="13"/>
  <c r="Q38" i="13" s="1"/>
  <c r="R38" i="13" s="1"/>
  <c r="R37" i="13"/>
  <c r="S37" i="13" s="1"/>
  <c r="R36" i="13"/>
  <c r="Q36" i="13"/>
  <c r="S36" i="13" s="1"/>
  <c r="Q35" i="13"/>
  <c r="R35" i="13" s="1"/>
  <c r="S35" i="13" s="1"/>
  <c r="P35" i="13"/>
  <c r="Q34" i="13"/>
  <c r="R34" i="13" s="1"/>
  <c r="S34" i="13" s="1"/>
  <c r="P34" i="13"/>
  <c r="R33" i="13"/>
  <c r="S33" i="13" s="1"/>
  <c r="R32" i="13"/>
  <c r="Q32" i="13"/>
  <c r="S32" i="13" s="1"/>
  <c r="S31" i="13"/>
  <c r="R31" i="13"/>
  <c r="R30" i="13"/>
  <c r="P30" i="13"/>
  <c r="O30" i="13"/>
  <c r="M30" i="13"/>
  <c r="S30" i="13" s="1"/>
  <c r="R29" i="13"/>
  <c r="O29" i="13"/>
  <c r="W33" i="13" s="1"/>
  <c r="N29" i="13"/>
  <c r="M29" i="13"/>
  <c r="M52" i="13" s="1"/>
  <c r="M61" i="13" s="1"/>
  <c r="K29" i="13"/>
  <c r="J29" i="13"/>
  <c r="J52" i="13" s="1"/>
  <c r="I29" i="13"/>
  <c r="I52" i="13" s="1"/>
  <c r="H29" i="13"/>
  <c r="S28" i="13"/>
  <c r="R28" i="13"/>
  <c r="S27" i="13"/>
  <c r="R27" i="13"/>
  <c r="Q26" i="13"/>
  <c r="R26" i="13" s="1"/>
  <c r="S26" i="13" s="1"/>
  <c r="R25" i="13"/>
  <c r="S25" i="13" s="1"/>
  <c r="Q25" i="13"/>
  <c r="S24" i="13"/>
  <c r="R24" i="13"/>
  <c r="Q23" i="13"/>
  <c r="R23" i="13" s="1"/>
  <c r="S23" i="13" s="1"/>
  <c r="R22" i="13"/>
  <c r="S22" i="13" s="1"/>
  <c r="Q22" i="13"/>
  <c r="R21" i="13"/>
  <c r="L21" i="13"/>
  <c r="S21" i="13" s="1"/>
  <c r="P20" i="13"/>
  <c r="R19" i="13"/>
  <c r="P19" i="13"/>
  <c r="L19" i="13"/>
  <c r="Q18" i="13"/>
  <c r="P18" i="13"/>
  <c r="Q17" i="13"/>
  <c r="P17" i="13"/>
  <c r="Q16" i="13"/>
  <c r="P16" i="13"/>
  <c r="Q15" i="13"/>
  <c r="P15" i="13"/>
  <c r="P63" i="13" s="1"/>
  <c r="S14" i="13"/>
  <c r="R13" i="13"/>
  <c r="S13" i="13" s="1"/>
  <c r="Q13" i="13"/>
  <c r="S12" i="13"/>
  <c r="R12" i="13"/>
  <c r="Q11" i="13"/>
  <c r="R11" i="13" s="1"/>
  <c r="S11" i="13" s="1"/>
  <c r="R10" i="13"/>
  <c r="S10" i="13" s="1"/>
  <c r="R9" i="13"/>
  <c r="S9" i="13" s="1"/>
  <c r="R8" i="13"/>
  <c r="P8" i="13"/>
  <c r="O8" i="13"/>
  <c r="N8" i="13"/>
  <c r="N52" i="13" s="1"/>
  <c r="N61" i="13" s="1"/>
  <c r="N64" i="13" s="1"/>
  <c r="K8" i="13"/>
  <c r="K52" i="13" s="1"/>
  <c r="R7" i="13"/>
  <c r="N28" i="12"/>
  <c r="O28" i="12" s="1"/>
  <c r="N27" i="12"/>
  <c r="O27" i="12" s="1"/>
  <c r="N25" i="12"/>
  <c r="O25" i="12" s="1"/>
  <c r="N24" i="12"/>
  <c r="O24" i="12" s="1"/>
  <c r="N23" i="12"/>
  <c r="O23" i="12" s="1"/>
  <c r="N22" i="12"/>
  <c r="O22" i="12" s="1"/>
  <c r="N21" i="12"/>
  <c r="O21" i="12" s="1"/>
  <c r="N20" i="12"/>
  <c r="O20" i="12" s="1"/>
  <c r="N19" i="12"/>
  <c r="O19" i="12" s="1"/>
  <c r="N18" i="12"/>
  <c r="O18" i="12" s="1"/>
  <c r="N17" i="12"/>
  <c r="O17" i="12" s="1"/>
  <c r="N16" i="12"/>
  <c r="O16" i="12" s="1"/>
  <c r="N15" i="12"/>
  <c r="O15" i="12" s="1"/>
  <c r="O14" i="12"/>
  <c r="O13" i="12"/>
  <c r="N12" i="12"/>
  <c r="O12" i="12" s="1"/>
  <c r="O11" i="12"/>
  <c r="O10" i="12"/>
  <c r="N10" i="12"/>
  <c r="P38" i="11"/>
  <c r="Q38" i="11" s="1"/>
  <c r="R38" i="11" s="1"/>
  <c r="O38" i="11"/>
  <c r="N38" i="11"/>
  <c r="L38" i="11"/>
  <c r="K38" i="11"/>
  <c r="J38" i="11"/>
  <c r="I38" i="11"/>
  <c r="H38" i="11"/>
  <c r="O37" i="11"/>
  <c r="N37" i="11"/>
  <c r="M37" i="11"/>
  <c r="L37" i="11"/>
  <c r="K37" i="11"/>
  <c r="J37" i="11"/>
  <c r="I37" i="11"/>
  <c r="H37" i="11"/>
  <c r="P36" i="11"/>
  <c r="O36" i="11"/>
  <c r="N36" i="11"/>
  <c r="M36" i="11"/>
  <c r="L36" i="11"/>
  <c r="J36" i="11"/>
  <c r="I36" i="11"/>
  <c r="H36" i="11"/>
  <c r="S36" i="11" s="1"/>
  <c r="L35" i="11"/>
  <c r="P34" i="11"/>
  <c r="Q34" i="11" s="1"/>
  <c r="R34" i="11" s="1"/>
  <c r="N34" i="11"/>
  <c r="M34" i="11"/>
  <c r="L34" i="11"/>
  <c r="K34" i="11"/>
  <c r="J34" i="11"/>
  <c r="I34" i="11"/>
  <c r="H34" i="11"/>
  <c r="P33" i="11"/>
  <c r="Q33" i="11" s="1"/>
  <c r="P32" i="11"/>
  <c r="Q32" i="11" s="1"/>
  <c r="P31" i="11"/>
  <c r="Q31" i="11" s="1"/>
  <c r="S30" i="11"/>
  <c r="R30" i="11"/>
  <c r="Q30" i="11"/>
  <c r="P30" i="11"/>
  <c r="S29" i="11"/>
  <c r="R29" i="11"/>
  <c r="Q29" i="11"/>
  <c r="P29" i="11"/>
  <c r="S28" i="11"/>
  <c r="R28" i="11"/>
  <c r="Q28" i="11"/>
  <c r="P28" i="11"/>
  <c r="S27" i="11"/>
  <c r="R27" i="11"/>
  <c r="Q27" i="11"/>
  <c r="P27" i="11"/>
  <c r="S26" i="11"/>
  <c r="R26" i="11"/>
  <c r="Q26" i="11"/>
  <c r="P26" i="11"/>
  <c r="S25" i="11"/>
  <c r="R25" i="11"/>
  <c r="Q25" i="11"/>
  <c r="P25" i="11"/>
  <c r="O23" i="11"/>
  <c r="O35" i="11" s="1"/>
  <c r="N23" i="11"/>
  <c r="N35" i="11" s="1"/>
  <c r="L23" i="11"/>
  <c r="J23" i="11"/>
  <c r="J35" i="11" s="1"/>
  <c r="I23" i="11"/>
  <c r="I35" i="11" s="1"/>
  <c r="P22" i="11"/>
  <c r="Q22" i="11" s="1"/>
  <c r="S21" i="11"/>
  <c r="R21" i="11"/>
  <c r="S20" i="11"/>
  <c r="R20" i="11"/>
  <c r="S19" i="11"/>
  <c r="R19" i="11"/>
  <c r="Q19" i="11"/>
  <c r="P19" i="11"/>
  <c r="S18" i="11"/>
  <c r="R18" i="11"/>
  <c r="Q18" i="11"/>
  <c r="M18" i="11"/>
  <c r="M23" i="11" s="1"/>
  <c r="M35" i="11" s="1"/>
  <c r="S17" i="11"/>
  <c r="R17" i="11"/>
  <c r="S16" i="11"/>
  <c r="R16" i="11"/>
  <c r="S15" i="11"/>
  <c r="R15" i="11"/>
  <c r="Q15" i="11"/>
  <c r="P15" i="11"/>
  <c r="S14" i="11"/>
  <c r="R14" i="11"/>
  <c r="Q14" i="11"/>
  <c r="Q36" i="11" s="1"/>
  <c r="R36" i="11" s="1"/>
  <c r="P14" i="11"/>
  <c r="K14" i="11"/>
  <c r="K36" i="11" s="1"/>
  <c r="P13" i="11"/>
  <c r="P12" i="11"/>
  <c r="Q12" i="11" s="1"/>
  <c r="R12" i="11" s="1"/>
  <c r="H12" i="11"/>
  <c r="Q11" i="11"/>
  <c r="R11" i="11" s="1"/>
  <c r="P11" i="11"/>
  <c r="S11" i="11" s="1"/>
  <c r="Q10" i="11"/>
  <c r="P9" i="11"/>
  <c r="S8" i="11"/>
  <c r="S6" i="11"/>
  <c r="O156" i="9"/>
  <c r="Q153" i="9"/>
  <c r="R153" i="9" s="1"/>
  <c r="P153" i="9"/>
  <c r="O153" i="9"/>
  <c r="K153" i="9"/>
  <c r="J153" i="9"/>
  <c r="I153" i="9"/>
  <c r="O152" i="9"/>
  <c r="N152" i="9"/>
  <c r="M152" i="9"/>
  <c r="S151" i="9"/>
  <c r="O150" i="9"/>
  <c r="O160" i="9" s="1"/>
  <c r="J150" i="9"/>
  <c r="I150" i="9"/>
  <c r="H150" i="9"/>
  <c r="O148" i="9"/>
  <c r="O149" i="9" s="1"/>
  <c r="N148" i="9"/>
  <c r="M148" i="9"/>
  <c r="M149" i="9" s="1"/>
  <c r="K148" i="9"/>
  <c r="I148" i="9"/>
  <c r="I149" i="9" s="1"/>
  <c r="Q147" i="9"/>
  <c r="R146" i="9"/>
  <c r="S146" i="9" s="1"/>
  <c r="R145" i="9"/>
  <c r="S145" i="9" s="1"/>
  <c r="R144" i="9"/>
  <c r="S144" i="9" s="1"/>
  <c r="R143" i="9"/>
  <c r="S143" i="9" s="1"/>
  <c r="R142" i="9"/>
  <c r="S142" i="9" s="1"/>
  <c r="R141" i="9"/>
  <c r="P141" i="9"/>
  <c r="Q141" i="9" s="1"/>
  <c r="P140" i="9"/>
  <c r="Q140" i="9" s="1"/>
  <c r="R140" i="9" s="1"/>
  <c r="R139" i="9"/>
  <c r="P139" i="9"/>
  <c r="Q139" i="9" s="1"/>
  <c r="P138" i="9"/>
  <c r="Q138" i="9" s="1"/>
  <c r="R138" i="9" s="1"/>
  <c r="R137" i="9"/>
  <c r="P137" i="9"/>
  <c r="Q137" i="9" s="1"/>
  <c r="P136" i="9"/>
  <c r="Q136" i="9" s="1"/>
  <c r="R136" i="9" s="1"/>
  <c r="R135" i="9"/>
  <c r="P135" i="9"/>
  <c r="Q135" i="9" s="1"/>
  <c r="R134" i="9"/>
  <c r="P134" i="9"/>
  <c r="Q134" i="9" s="1"/>
  <c r="R133" i="9"/>
  <c r="P133" i="9"/>
  <c r="Q133" i="9" s="1"/>
  <c r="R132" i="9"/>
  <c r="L132" i="9"/>
  <c r="L148" i="9" s="1"/>
  <c r="H132" i="9"/>
  <c r="H153" i="9" s="1"/>
  <c r="R131" i="9"/>
  <c r="S131" i="9" s="1"/>
  <c r="R130" i="9"/>
  <c r="Q130" i="9"/>
  <c r="S130" i="9" s="1"/>
  <c r="S129" i="9"/>
  <c r="Q129" i="9"/>
  <c r="R129" i="9" s="1"/>
  <c r="P129" i="9"/>
  <c r="Q128" i="9"/>
  <c r="R128" i="9" s="1"/>
  <c r="S128" i="9" s="1"/>
  <c r="P128" i="9"/>
  <c r="Q127" i="9"/>
  <c r="R127" i="9" s="1"/>
  <c r="S127" i="9" s="1"/>
  <c r="P127" i="9"/>
  <c r="Q126" i="9"/>
  <c r="R126" i="9" s="1"/>
  <c r="S126" i="9" s="1"/>
  <c r="P125" i="9"/>
  <c r="Q125" i="9" s="1"/>
  <c r="R125" i="9" s="1"/>
  <c r="P124" i="9"/>
  <c r="Q124" i="9" s="1"/>
  <c r="R124" i="9" s="1"/>
  <c r="P123" i="9"/>
  <c r="P148" i="9" s="1"/>
  <c r="R122" i="9"/>
  <c r="S122" i="9" s="1"/>
  <c r="Q122" i="9"/>
  <c r="Q121" i="9"/>
  <c r="R120" i="9"/>
  <c r="J120" i="9"/>
  <c r="S120" i="9" s="1"/>
  <c r="S119" i="9"/>
  <c r="R119" i="9"/>
  <c r="S118" i="9"/>
  <c r="S117" i="9"/>
  <c r="O115" i="9"/>
  <c r="N115" i="9"/>
  <c r="J115" i="9"/>
  <c r="R114" i="9"/>
  <c r="P114" i="9"/>
  <c r="Q114" i="9" s="1"/>
  <c r="R113" i="9"/>
  <c r="P113" i="9"/>
  <c r="Q113" i="9" s="1"/>
  <c r="R112" i="9"/>
  <c r="P112" i="9"/>
  <c r="Q112" i="9" s="1"/>
  <c r="R111" i="9"/>
  <c r="P111" i="9"/>
  <c r="Q111" i="9" s="1"/>
  <c r="R110" i="9"/>
  <c r="P110" i="9"/>
  <c r="Q110" i="9" s="1"/>
  <c r="R109" i="9"/>
  <c r="P109" i="9"/>
  <c r="Q109" i="9" s="1"/>
  <c r="V108" i="9"/>
  <c r="W108" i="9" s="1"/>
  <c r="R108" i="9"/>
  <c r="N108" i="9"/>
  <c r="N153" i="9" s="1"/>
  <c r="M108" i="9"/>
  <c r="M153" i="9" s="1"/>
  <c r="L108" i="9"/>
  <c r="L153" i="9" s="1"/>
  <c r="Q107" i="9"/>
  <c r="P107" i="9"/>
  <c r="R106" i="9"/>
  <c r="P106" i="9"/>
  <c r="S106" i="9" s="1"/>
  <c r="P105" i="9"/>
  <c r="R104" i="9"/>
  <c r="Q104" i="9"/>
  <c r="S104" i="9" s="1"/>
  <c r="S103" i="9"/>
  <c r="Q103" i="9"/>
  <c r="R103" i="9" s="1"/>
  <c r="R102" i="9"/>
  <c r="S102" i="9" s="1"/>
  <c r="Q102" i="9"/>
  <c r="Q101" i="9"/>
  <c r="P100" i="9"/>
  <c r="P99" i="9"/>
  <c r="P98" i="9"/>
  <c r="S98" i="9" s="1"/>
  <c r="R97" i="9"/>
  <c r="S97" i="9" s="1"/>
  <c r="Q97" i="9"/>
  <c r="S96" i="9"/>
  <c r="P96" i="9"/>
  <c r="S95" i="9"/>
  <c r="Q95" i="9"/>
  <c r="R95" i="9" s="1"/>
  <c r="R94" i="9"/>
  <c r="Q94" i="9"/>
  <c r="L94" i="9"/>
  <c r="P93" i="9"/>
  <c r="Q93" i="9" s="1"/>
  <c r="R93" i="9" s="1"/>
  <c r="R92" i="9"/>
  <c r="S92" i="9" s="1"/>
  <c r="R91" i="9"/>
  <c r="Q91" i="9"/>
  <c r="S91" i="9" s="1"/>
  <c r="S90" i="9"/>
  <c r="R90" i="9"/>
  <c r="P90" i="9"/>
  <c r="R89" i="9"/>
  <c r="S89" i="9" s="1"/>
  <c r="P89" i="9"/>
  <c r="Q88" i="9"/>
  <c r="P87" i="9"/>
  <c r="S87" i="9" s="1"/>
  <c r="R86" i="9"/>
  <c r="S86" i="9" s="1"/>
  <c r="P86" i="9"/>
  <c r="Q85" i="9"/>
  <c r="R84" i="9"/>
  <c r="Q84" i="9"/>
  <c r="M84" i="9"/>
  <c r="M115" i="9" s="1"/>
  <c r="K84" i="9"/>
  <c r="S83" i="9"/>
  <c r="Q83" i="9"/>
  <c r="S82" i="9"/>
  <c r="Q82" i="9"/>
  <c r="S81" i="9"/>
  <c r="Q81" i="9"/>
  <c r="S80" i="9"/>
  <c r="Q80" i="9"/>
  <c r="R80" i="9" s="1"/>
  <c r="P80" i="9"/>
  <c r="Q79" i="9"/>
  <c r="R79" i="9" s="1"/>
  <c r="P79" i="9"/>
  <c r="S78" i="9"/>
  <c r="Q78" i="9"/>
  <c r="R78" i="9" s="1"/>
  <c r="P78" i="9"/>
  <c r="Q77" i="9"/>
  <c r="R77" i="9" s="1"/>
  <c r="P77" i="9"/>
  <c r="S76" i="9"/>
  <c r="Q76" i="9"/>
  <c r="R76" i="9" s="1"/>
  <c r="P76" i="9"/>
  <c r="Q75" i="9"/>
  <c r="R75" i="9" s="1"/>
  <c r="P75" i="9"/>
  <c r="S74" i="9"/>
  <c r="Q74" i="9"/>
  <c r="R74" i="9" s="1"/>
  <c r="P74" i="9"/>
  <c r="Q73" i="9"/>
  <c r="R73" i="9" s="1"/>
  <c r="R72" i="9"/>
  <c r="S72" i="9" s="1"/>
  <c r="Q72" i="9"/>
  <c r="Q71" i="9"/>
  <c r="R71" i="9" s="1"/>
  <c r="K71" i="9"/>
  <c r="K115" i="9" s="1"/>
  <c r="S70" i="9"/>
  <c r="Q70" i="9"/>
  <c r="R70" i="9" s="1"/>
  <c r="P69" i="9"/>
  <c r="R68" i="9"/>
  <c r="S68" i="9" s="1"/>
  <c r="R67" i="9"/>
  <c r="S67" i="9" s="1"/>
  <c r="Q67" i="9"/>
  <c r="S66" i="9"/>
  <c r="R66" i="9"/>
  <c r="Q65" i="9"/>
  <c r="R65" i="9" s="1"/>
  <c r="P65" i="9"/>
  <c r="S64" i="9"/>
  <c r="S63" i="9"/>
  <c r="S62" i="9"/>
  <c r="S61" i="9"/>
  <c r="S60" i="9"/>
  <c r="Q60" i="9"/>
  <c r="R60" i="9" s="1"/>
  <c r="L60" i="9"/>
  <c r="L152" i="9" s="1"/>
  <c r="I60" i="9"/>
  <c r="I115" i="9" s="1"/>
  <c r="H60" i="9"/>
  <c r="H152" i="9" s="1"/>
  <c r="Q59" i="9"/>
  <c r="O57" i="9"/>
  <c r="N57" i="9"/>
  <c r="L57" i="9"/>
  <c r="J57" i="9"/>
  <c r="I57" i="9"/>
  <c r="H57" i="9"/>
  <c r="R56" i="9"/>
  <c r="S56" i="9" s="1"/>
  <c r="R55" i="9"/>
  <c r="S55" i="9" s="1"/>
  <c r="Q55" i="9"/>
  <c r="S54" i="9"/>
  <c r="Q54" i="9"/>
  <c r="R54" i="9" s="1"/>
  <c r="R53" i="9"/>
  <c r="Q53" i="9"/>
  <c r="S52" i="9"/>
  <c r="Q52" i="9"/>
  <c r="R52" i="9" s="1"/>
  <c r="R51" i="9"/>
  <c r="S51" i="9" s="1"/>
  <c r="Q51" i="9"/>
  <c r="S50" i="9"/>
  <c r="Q50" i="9"/>
  <c r="R50" i="9" s="1"/>
  <c r="N50" i="9"/>
  <c r="S49" i="9"/>
  <c r="R49" i="9"/>
  <c r="S48" i="9"/>
  <c r="R48" i="9"/>
  <c r="S47" i="9"/>
  <c r="S46" i="9"/>
  <c r="Q45" i="9"/>
  <c r="R45" i="9" s="1"/>
  <c r="R44" i="9"/>
  <c r="S44" i="9" s="1"/>
  <c r="R43" i="9"/>
  <c r="Q43" i="9"/>
  <c r="S42" i="9"/>
  <c r="Q42" i="9"/>
  <c r="R42" i="9" s="1"/>
  <c r="R41" i="9"/>
  <c r="S41" i="9" s="1"/>
  <c r="R40" i="9"/>
  <c r="S40" i="9" s="1"/>
  <c r="R39" i="9"/>
  <c r="S39" i="9" s="1"/>
  <c r="R38" i="9"/>
  <c r="S38" i="9" s="1"/>
  <c r="R37" i="9"/>
  <c r="N37" i="9"/>
  <c r="K37" i="9"/>
  <c r="S37" i="9" s="1"/>
  <c r="R36" i="9"/>
  <c r="L36" i="9"/>
  <c r="L150" i="9" s="1"/>
  <c r="K36" i="9"/>
  <c r="S36" i="9" s="1"/>
  <c r="P35" i="9"/>
  <c r="P34" i="9"/>
  <c r="P33" i="9"/>
  <c r="Q33" i="9" s="1"/>
  <c r="R33" i="9" s="1"/>
  <c r="S33" i="9" s="1"/>
  <c r="R32" i="9"/>
  <c r="S32" i="9" s="1"/>
  <c r="P32" i="9"/>
  <c r="Q32" i="9" s="1"/>
  <c r="S31" i="9"/>
  <c r="R31" i="9"/>
  <c r="Q30" i="9"/>
  <c r="S30" i="9" s="1"/>
  <c r="Q29" i="9"/>
  <c r="N29" i="9"/>
  <c r="N150" i="9" s="1"/>
  <c r="S28" i="9"/>
  <c r="S27" i="9"/>
  <c r="S26" i="9"/>
  <c r="S25" i="9"/>
  <c r="S24" i="9"/>
  <c r="P23" i="9"/>
  <c r="P22" i="9"/>
  <c r="P21" i="9"/>
  <c r="P20" i="9"/>
  <c r="P19" i="9"/>
  <c r="Q19" i="9" s="1"/>
  <c r="R19" i="9" s="1"/>
  <c r="M19" i="9"/>
  <c r="M57" i="9" s="1"/>
  <c r="S18" i="9"/>
  <c r="P18" i="9"/>
  <c r="S17" i="9"/>
  <c r="S16" i="9"/>
  <c r="Q15" i="9"/>
  <c r="S14" i="9"/>
  <c r="S13" i="9"/>
  <c r="S12" i="9"/>
  <c r="S11" i="9"/>
  <c r="P10" i="9"/>
  <c r="R9" i="9"/>
  <c r="K9" i="9"/>
  <c r="S8" i="9"/>
  <c r="R8" i="9"/>
  <c r="P8" i="9"/>
  <c r="P152" i="9" s="1"/>
  <c r="P156" i="9" s="1"/>
  <c r="P7" i="9"/>
  <c r="Q7" i="9" s="1"/>
  <c r="K7" i="9"/>
  <c r="N29" i="8"/>
  <c r="O29" i="8" s="1"/>
  <c r="N28" i="8"/>
  <c r="O28" i="8" s="1"/>
  <c r="N27" i="8"/>
  <c r="O27" i="8" s="1"/>
  <c r="N26" i="8"/>
  <c r="O26" i="8" s="1"/>
  <c r="N25" i="8"/>
  <c r="O25" i="8" s="1"/>
  <c r="N23" i="8"/>
  <c r="O23" i="8" s="1"/>
  <c r="N22" i="8"/>
  <c r="O22" i="8" s="1"/>
  <c r="N21" i="8"/>
  <c r="O21" i="8" s="1"/>
  <c r="N20" i="8"/>
  <c r="O20" i="8" s="1"/>
  <c r="N19" i="8"/>
  <c r="O19" i="8" s="1"/>
  <c r="N18" i="8"/>
  <c r="O18" i="8" s="1"/>
  <c r="N17" i="8"/>
  <c r="O17" i="8" s="1"/>
  <c r="N16" i="8"/>
  <c r="O16" i="8" s="1"/>
  <c r="N15" i="8"/>
  <c r="O15" i="8" s="1"/>
  <c r="N14" i="8"/>
  <c r="O14" i="8" s="1"/>
  <c r="N12" i="8"/>
  <c r="O12" i="8" s="1"/>
  <c r="N11" i="8"/>
  <c r="O11" i="8" s="1"/>
  <c r="N10" i="8"/>
  <c r="O10" i="8" s="1"/>
  <c r="N9" i="8"/>
  <c r="O9" i="8" s="1"/>
  <c r="N8" i="8"/>
  <c r="O8" i="8" s="1"/>
  <c r="R69" i="7"/>
  <c r="P69" i="7"/>
  <c r="O69" i="7"/>
  <c r="N69" i="7"/>
  <c r="M69" i="7"/>
  <c r="L69" i="7"/>
  <c r="K69" i="7"/>
  <c r="J69" i="7"/>
  <c r="I69" i="7"/>
  <c r="H69" i="7"/>
  <c r="S69" i="7" s="1"/>
  <c r="O68" i="7"/>
  <c r="M68" i="7"/>
  <c r="L68" i="7"/>
  <c r="K68" i="7"/>
  <c r="J68" i="7"/>
  <c r="I68" i="7"/>
  <c r="H68" i="7"/>
  <c r="O67" i="7"/>
  <c r="M67" i="7"/>
  <c r="K67" i="7"/>
  <c r="J67" i="7"/>
  <c r="I67" i="7"/>
  <c r="H67" i="7"/>
  <c r="O65" i="7"/>
  <c r="O66" i="7" s="1"/>
  <c r="M65" i="7"/>
  <c r="M66" i="7" s="1"/>
  <c r="K65" i="7"/>
  <c r="J65" i="7"/>
  <c r="J66" i="7" s="1"/>
  <c r="I65" i="7"/>
  <c r="I66" i="7" s="1"/>
  <c r="H65" i="7"/>
  <c r="H66" i="7" s="1"/>
  <c r="Q64" i="7"/>
  <c r="R64" i="7" s="1"/>
  <c r="S64" i="7" s="1"/>
  <c r="P64" i="7"/>
  <c r="Q63" i="7"/>
  <c r="R63" i="7" s="1"/>
  <c r="S63" i="7" s="1"/>
  <c r="P63" i="7"/>
  <c r="Q62" i="7"/>
  <c r="R62" i="7" s="1"/>
  <c r="S62" i="7" s="1"/>
  <c r="P62" i="7"/>
  <c r="Q61" i="7"/>
  <c r="R61" i="7" s="1"/>
  <c r="S61" i="7" s="1"/>
  <c r="P61" i="7"/>
  <c r="Q60" i="7"/>
  <c r="R60" i="7" s="1"/>
  <c r="S60" i="7" s="1"/>
  <c r="P60" i="7"/>
  <c r="Q59" i="7"/>
  <c r="R59" i="7" s="1"/>
  <c r="S59" i="7" s="1"/>
  <c r="P59" i="7"/>
  <c r="Q58" i="7"/>
  <c r="R58" i="7" s="1"/>
  <c r="S58" i="7" s="1"/>
  <c r="P58" i="7"/>
  <c r="Q57" i="7"/>
  <c r="R57" i="7" s="1"/>
  <c r="S57" i="7" s="1"/>
  <c r="R56" i="7"/>
  <c r="S56" i="7" s="1"/>
  <c r="Q56" i="7"/>
  <c r="Q55" i="7"/>
  <c r="P54" i="7"/>
  <c r="R53" i="7"/>
  <c r="Q53" i="7"/>
  <c r="L53" i="7"/>
  <c r="S53" i="7" s="1"/>
  <c r="P52" i="7"/>
  <c r="P51" i="7"/>
  <c r="P50" i="7"/>
  <c r="R49" i="7"/>
  <c r="Q49" i="7"/>
  <c r="S49" i="7" s="1"/>
  <c r="S48" i="7"/>
  <c r="R48" i="7"/>
  <c r="Q47" i="7"/>
  <c r="P47" i="7"/>
  <c r="Q46" i="7"/>
  <c r="P46" i="7"/>
  <c r="S45" i="7"/>
  <c r="R45" i="7"/>
  <c r="Q44" i="7"/>
  <c r="R44" i="7" s="1"/>
  <c r="S44" i="7" s="1"/>
  <c r="P44" i="7"/>
  <c r="Q43" i="7"/>
  <c r="R43" i="7" s="1"/>
  <c r="S43" i="7" s="1"/>
  <c r="P43" i="7"/>
  <c r="S42" i="7"/>
  <c r="R42" i="7"/>
  <c r="S41" i="7"/>
  <c r="R40" i="7"/>
  <c r="S40" i="7" s="1"/>
  <c r="R39" i="7"/>
  <c r="S39" i="7" s="1"/>
  <c r="P38" i="7"/>
  <c r="Q38" i="7" s="1"/>
  <c r="R38" i="7" s="1"/>
  <c r="N38" i="7"/>
  <c r="N67" i="7" s="1"/>
  <c r="Q37" i="7"/>
  <c r="R37" i="7" s="1"/>
  <c r="S37" i="7" s="1"/>
  <c r="P37" i="7"/>
  <c r="Q36" i="7"/>
  <c r="R36" i="7" s="1"/>
  <c r="S36" i="7" s="1"/>
  <c r="P36" i="7"/>
  <c r="S35" i="7"/>
  <c r="R35" i="7"/>
  <c r="R34" i="7"/>
  <c r="P34" i="7"/>
  <c r="S34" i="7" s="1"/>
  <c r="R33" i="7"/>
  <c r="Q33" i="7"/>
  <c r="S33" i="7" s="1"/>
  <c r="S32" i="7"/>
  <c r="R32" i="7"/>
  <c r="P32" i="7"/>
  <c r="R31" i="7"/>
  <c r="S31" i="7" s="1"/>
  <c r="Q31" i="7"/>
  <c r="Q30" i="7"/>
  <c r="P30" i="7"/>
  <c r="S29" i="7"/>
  <c r="R29" i="7"/>
  <c r="S28" i="7"/>
  <c r="R28" i="7"/>
  <c r="P28" i="7"/>
  <c r="R27" i="7"/>
  <c r="S27" i="7" s="1"/>
  <c r="Q27" i="7"/>
  <c r="R26" i="7"/>
  <c r="P26" i="7"/>
  <c r="S26" i="7" s="1"/>
  <c r="P25" i="7"/>
  <c r="P24" i="7"/>
  <c r="P23" i="7"/>
  <c r="P21" i="7"/>
  <c r="R20" i="7"/>
  <c r="Q20" i="7"/>
  <c r="S20" i="7" s="1"/>
  <c r="S19" i="7"/>
  <c r="R19" i="7"/>
  <c r="R18" i="7"/>
  <c r="N18" i="7"/>
  <c r="S18" i="7" s="1"/>
  <c r="R17" i="7"/>
  <c r="S17" i="7" s="1"/>
  <c r="R16" i="7"/>
  <c r="S16" i="7" s="1"/>
  <c r="R15" i="7"/>
  <c r="S15" i="7" s="1"/>
  <c r="R14" i="7"/>
  <c r="S14" i="7" s="1"/>
  <c r="Q14" i="7"/>
  <c r="S13" i="7"/>
  <c r="R13" i="7"/>
  <c r="Q12" i="7"/>
  <c r="R12" i="7" s="1"/>
  <c r="S12" i="7" s="1"/>
  <c r="R11" i="7"/>
  <c r="S11" i="7" s="1"/>
  <c r="P11" i="7"/>
  <c r="Q10" i="7"/>
  <c r="P10" i="7"/>
  <c r="S9" i="7"/>
  <c r="R9" i="7"/>
  <c r="S8" i="7"/>
  <c r="P8" i="7"/>
  <c r="N8" i="7"/>
  <c r="R7" i="7"/>
  <c r="P7" i="7"/>
  <c r="P68" i="7" s="1"/>
  <c r="N7" i="7"/>
  <c r="N68" i="7" s="1"/>
  <c r="D7" i="5"/>
  <c r="P73" i="4"/>
  <c r="Q73" i="4" s="1"/>
  <c r="Q72" i="4"/>
  <c r="P72" i="4"/>
  <c r="P70" i="4"/>
  <c r="Q70" i="4" s="1"/>
  <c r="Q69" i="4"/>
  <c r="P69" i="4"/>
  <c r="P68" i="4"/>
  <c r="Q68" i="4" s="1"/>
  <c r="Q67" i="4"/>
  <c r="P67" i="4"/>
  <c r="P66" i="4"/>
  <c r="Q66" i="4" s="1"/>
  <c r="Q65" i="4"/>
  <c r="P65" i="4"/>
  <c r="P64" i="4"/>
  <c r="Q64" i="4" s="1"/>
  <c r="Q63" i="4"/>
  <c r="P63" i="4"/>
  <c r="P62" i="4"/>
  <c r="Q62" i="4" s="1"/>
  <c r="Q61" i="4"/>
  <c r="P61" i="4"/>
  <c r="P60" i="4"/>
  <c r="Q60" i="4" s="1"/>
  <c r="Q59" i="4"/>
  <c r="P59" i="4"/>
  <c r="Q58" i="4"/>
  <c r="P57" i="4"/>
  <c r="Q57" i="4" s="1"/>
  <c r="Q56" i="4"/>
  <c r="O55" i="4"/>
  <c r="P55" i="4" s="1"/>
  <c r="Q55" i="4" s="1"/>
  <c r="O54" i="4"/>
  <c r="P54" i="4" s="1"/>
  <c r="Q54" i="4" s="1"/>
  <c r="Q53" i="4"/>
  <c r="P53" i="4"/>
  <c r="P49" i="4"/>
  <c r="Q49" i="4" s="1"/>
  <c r="Q48" i="4"/>
  <c r="P48" i="4"/>
  <c r="Q47" i="4"/>
  <c r="P46" i="4"/>
  <c r="Q46" i="4" s="1"/>
  <c r="O42" i="4"/>
  <c r="P42" i="4" s="1"/>
  <c r="Q42" i="4" s="1"/>
  <c r="Q41" i="4"/>
  <c r="P41" i="4"/>
  <c r="O41" i="4"/>
  <c r="P40" i="4"/>
  <c r="Q40" i="4" s="1"/>
  <c r="O40" i="4"/>
  <c r="O39" i="4"/>
  <c r="P39" i="4" s="1"/>
  <c r="Q39" i="4" s="1"/>
  <c r="O38" i="4"/>
  <c r="P38" i="4" s="1"/>
  <c r="Q38" i="4" s="1"/>
  <c r="Q37" i="4"/>
  <c r="O36" i="4"/>
  <c r="P36" i="4" s="1"/>
  <c r="Q36" i="4" s="1"/>
  <c r="Q35" i="4"/>
  <c r="P35" i="4"/>
  <c r="O35" i="4"/>
  <c r="P34" i="4"/>
  <c r="Q34" i="4" s="1"/>
  <c r="O34" i="4"/>
  <c r="O33" i="4"/>
  <c r="P33" i="4" s="1"/>
  <c r="Q33" i="4" s="1"/>
  <c r="O32" i="4"/>
  <c r="P32" i="4" s="1"/>
  <c r="Q32" i="4" s="1"/>
  <c r="O31" i="4"/>
  <c r="P31" i="4" s="1"/>
  <c r="Q31" i="4" s="1"/>
  <c r="P30" i="4"/>
  <c r="Q30" i="4" s="1"/>
  <c r="O30" i="4"/>
  <c r="O29" i="4"/>
  <c r="P29" i="4" s="1"/>
  <c r="Q29" i="4" s="1"/>
  <c r="O28" i="4"/>
  <c r="P28" i="4" s="1"/>
  <c r="Q28" i="4" s="1"/>
  <c r="O27" i="4"/>
  <c r="P27" i="4" s="1"/>
  <c r="Q27" i="4" s="1"/>
  <c r="P25" i="4"/>
  <c r="Q25" i="4" s="1"/>
  <c r="O25" i="4"/>
  <c r="O24" i="4"/>
  <c r="P24" i="4" s="1"/>
  <c r="Q24" i="4" s="1"/>
  <c r="O23" i="4"/>
  <c r="P23" i="4" s="1"/>
  <c r="Q23" i="4" s="1"/>
  <c r="O22" i="4"/>
  <c r="P22" i="4" s="1"/>
  <c r="Q22" i="4" s="1"/>
  <c r="P21" i="4"/>
  <c r="Q21" i="4" s="1"/>
  <c r="O21" i="4"/>
  <c r="O17" i="4"/>
  <c r="P17" i="4" s="1"/>
  <c r="Q17" i="4" s="1"/>
  <c r="O16" i="4"/>
  <c r="P16" i="4" s="1"/>
  <c r="Q16" i="4" s="1"/>
  <c r="O15" i="4"/>
  <c r="P15" i="4" s="1"/>
  <c r="Q15" i="4" s="1"/>
  <c r="P14" i="4"/>
  <c r="Q14" i="4" s="1"/>
  <c r="O14" i="4"/>
  <c r="O10" i="4"/>
  <c r="P10" i="4" s="1"/>
  <c r="Q10" i="4" s="1"/>
  <c r="O9" i="4"/>
  <c r="P9" i="4" s="1"/>
  <c r="Q9" i="4" s="1"/>
  <c r="O8" i="4"/>
  <c r="P8" i="4" s="1"/>
  <c r="Q8" i="4" s="1"/>
  <c r="P7" i="4"/>
  <c r="Q7" i="4" s="1"/>
  <c r="O7" i="4"/>
  <c r="U32" i="3"/>
  <c r="V32" i="3" s="1"/>
  <c r="W32" i="3" s="1"/>
  <c r="T32" i="3"/>
  <c r="S32" i="3"/>
  <c r="R32" i="3"/>
  <c r="Q32" i="3"/>
  <c r="P32" i="3"/>
  <c r="AB24" i="3"/>
  <c r="W24" i="3"/>
  <c r="Y21" i="3"/>
  <c r="X21" i="3"/>
  <c r="Y20" i="3"/>
  <c r="S20" i="3"/>
  <c r="Q20" i="3"/>
  <c r="P20" i="3"/>
  <c r="AA19" i="3"/>
  <c r="S19" i="3"/>
  <c r="T19" i="3" s="1"/>
  <c r="R19" i="3"/>
  <c r="Q19" i="3"/>
  <c r="P19" i="3"/>
  <c r="AA18" i="3"/>
  <c r="X16" i="3"/>
  <c r="S16" i="3"/>
  <c r="R16" i="3"/>
  <c r="Q16" i="3"/>
  <c r="AA15" i="3"/>
  <c r="AE13" i="3"/>
  <c r="AE14" i="3" s="1"/>
  <c r="X13" i="3"/>
  <c r="AA12" i="3"/>
  <c r="X12" i="3"/>
  <c r="S12" i="3"/>
  <c r="R12" i="3"/>
  <c r="Q12" i="3"/>
  <c r="AA11" i="3"/>
  <c r="P8" i="3"/>
  <c r="H8" i="3"/>
  <c r="L32" i="2"/>
  <c r="N31" i="2"/>
  <c r="M31" i="2"/>
  <c r="L31" i="2"/>
  <c r="L9" i="2" s="1"/>
  <c r="K31" i="2"/>
  <c r="O31" i="2" s="1"/>
  <c r="N30" i="2"/>
  <c r="M30" i="2"/>
  <c r="O30" i="2" s="1"/>
  <c r="L30" i="2"/>
  <c r="N29" i="2"/>
  <c r="M29" i="2"/>
  <c r="L29" i="2"/>
  <c r="K29" i="2"/>
  <c r="K27" i="2" s="1"/>
  <c r="N28" i="2"/>
  <c r="N27" i="2" s="1"/>
  <c r="L27" i="2"/>
  <c r="J27" i="2"/>
  <c r="I27" i="2"/>
  <c r="H27" i="2"/>
  <c r="G27" i="2"/>
  <c r="F27" i="2"/>
  <c r="E27" i="2"/>
  <c r="D27" i="2"/>
  <c r="N26" i="2"/>
  <c r="M26" i="2"/>
  <c r="O26" i="2" s="1"/>
  <c r="O25" i="2"/>
  <c r="N25" i="2"/>
  <c r="M25" i="2"/>
  <c r="N24" i="2"/>
  <c r="N8" i="2" s="1"/>
  <c r="M24" i="2"/>
  <c r="L24" i="2"/>
  <c r="L22" i="2" s="1"/>
  <c r="N23" i="2"/>
  <c r="L23" i="2"/>
  <c r="O23" i="2" s="1"/>
  <c r="M22" i="2"/>
  <c r="N22" i="2" s="1"/>
  <c r="K22" i="2"/>
  <c r="J22" i="2"/>
  <c r="I22" i="2"/>
  <c r="H22" i="2"/>
  <c r="G22" i="2"/>
  <c r="F22" i="2"/>
  <c r="E22" i="2"/>
  <c r="D22" i="2"/>
  <c r="O22" i="2" s="1"/>
  <c r="N21" i="2"/>
  <c r="M21" i="2"/>
  <c r="L21" i="2"/>
  <c r="O21" i="2" s="1"/>
  <c r="N20" i="2"/>
  <c r="M20" i="2"/>
  <c r="L20" i="2"/>
  <c r="O20" i="2" s="1"/>
  <c r="N19" i="2"/>
  <c r="M19" i="2"/>
  <c r="O19" i="2" s="1"/>
  <c r="L19" i="2"/>
  <c r="M18" i="2"/>
  <c r="L18" i="2"/>
  <c r="L7" i="2" s="1"/>
  <c r="J18" i="2"/>
  <c r="N17" i="2"/>
  <c r="L17" i="2"/>
  <c r="O17" i="2" s="1"/>
  <c r="N16" i="2"/>
  <c r="L16" i="2"/>
  <c r="K16" i="2"/>
  <c r="J16" i="2"/>
  <c r="I16" i="2"/>
  <c r="H16" i="2"/>
  <c r="G16" i="2"/>
  <c r="F16" i="2"/>
  <c r="E16" i="2"/>
  <c r="D16" i="2"/>
  <c r="N15" i="2"/>
  <c r="O15" i="2" s="1"/>
  <c r="N14" i="2"/>
  <c r="O14" i="2" s="1"/>
  <c r="N13" i="2"/>
  <c r="O13" i="2" s="1"/>
  <c r="O11" i="2" s="1"/>
  <c r="N12" i="2"/>
  <c r="L12" i="2"/>
  <c r="O12" i="2" s="1"/>
  <c r="M11" i="2"/>
  <c r="N11" i="2" s="1"/>
  <c r="L11" i="2"/>
  <c r="K11" i="2"/>
  <c r="J11" i="2"/>
  <c r="I11" i="2"/>
  <c r="H11" i="2"/>
  <c r="G11" i="2"/>
  <c r="F11" i="2"/>
  <c r="E11" i="2"/>
  <c r="D11" i="2"/>
  <c r="K10" i="2"/>
  <c r="J10" i="2"/>
  <c r="I10" i="2"/>
  <c r="H10" i="2"/>
  <c r="G10" i="2"/>
  <c r="F10" i="2"/>
  <c r="E10" i="2"/>
  <c r="D10" i="2"/>
  <c r="M9" i="2"/>
  <c r="K9" i="2"/>
  <c r="J9" i="2"/>
  <c r="I9" i="2"/>
  <c r="H9" i="2"/>
  <c r="G9" i="2"/>
  <c r="F9" i="2"/>
  <c r="E9" i="2"/>
  <c r="D9" i="2"/>
  <c r="M8" i="2"/>
  <c r="L8" i="2"/>
  <c r="K8" i="2"/>
  <c r="J8" i="2"/>
  <c r="I8" i="2"/>
  <c r="I5" i="2" s="1"/>
  <c r="H8" i="2"/>
  <c r="G8" i="2"/>
  <c r="F8" i="2"/>
  <c r="E8" i="2"/>
  <c r="E5" i="2" s="1"/>
  <c r="D8" i="2"/>
  <c r="O8" i="2" s="1"/>
  <c r="N7" i="2"/>
  <c r="M7" i="2"/>
  <c r="K7" i="2"/>
  <c r="J7" i="2"/>
  <c r="N6" i="2"/>
  <c r="K5" i="2"/>
  <c r="J5" i="2"/>
  <c r="H5" i="2"/>
  <c r="G5" i="2"/>
  <c r="F5" i="2"/>
  <c r="D5" i="2"/>
  <c r="R26" i="1"/>
  <c r="Q26" i="1"/>
  <c r="P26" i="1"/>
  <c r="S26" i="1" s="1"/>
  <c r="R25" i="1"/>
  <c r="R10" i="1" s="1"/>
  <c r="Q25" i="1"/>
  <c r="P25" i="1"/>
  <c r="K25" i="1"/>
  <c r="J25" i="1"/>
  <c r="J10" i="1" s="1"/>
  <c r="J5" i="1" s="1"/>
  <c r="I25" i="1"/>
  <c r="R24" i="1"/>
  <c r="Q24" i="1"/>
  <c r="Q7" i="1" s="1"/>
  <c r="Q5" i="1" s="1"/>
  <c r="P24" i="1"/>
  <c r="O24" i="1"/>
  <c r="M24" i="1"/>
  <c r="M22" i="1" s="1"/>
  <c r="S23" i="1"/>
  <c r="R23" i="1"/>
  <c r="P23" i="1"/>
  <c r="P22" i="1"/>
  <c r="O22" i="1"/>
  <c r="N22" i="1"/>
  <c r="L22" i="1"/>
  <c r="K22" i="1"/>
  <c r="J22" i="1"/>
  <c r="I22" i="1"/>
  <c r="H22" i="1"/>
  <c r="R21" i="1"/>
  <c r="S21" i="1" s="1"/>
  <c r="R20" i="1"/>
  <c r="P20" i="1"/>
  <c r="S20" i="1" s="1"/>
  <c r="Q19" i="1"/>
  <c r="R19" i="1" s="1"/>
  <c r="P19" i="1"/>
  <c r="O19" i="1"/>
  <c r="N19" i="1"/>
  <c r="M19" i="1"/>
  <c r="L19" i="1"/>
  <c r="K19" i="1"/>
  <c r="S19" i="1" s="1"/>
  <c r="J19" i="1"/>
  <c r="I19" i="1"/>
  <c r="H19" i="1"/>
  <c r="S18" i="1"/>
  <c r="R18" i="1"/>
  <c r="Q18" i="1"/>
  <c r="P18" i="1"/>
  <c r="P15" i="1" s="1"/>
  <c r="R17" i="1"/>
  <c r="O17" i="1"/>
  <c r="P17" i="1" s="1"/>
  <c r="S17" i="1" s="1"/>
  <c r="S16" i="1"/>
  <c r="R16" i="1"/>
  <c r="R15" i="1"/>
  <c r="Q15" i="1"/>
  <c r="O15" i="1"/>
  <c r="N15" i="1"/>
  <c r="M15" i="1"/>
  <c r="L15" i="1"/>
  <c r="K15" i="1"/>
  <c r="J15" i="1"/>
  <c r="I15" i="1"/>
  <c r="H15" i="1"/>
  <c r="S15" i="1" s="1"/>
  <c r="R14" i="1"/>
  <c r="S14" i="1" s="1"/>
  <c r="S13" i="1"/>
  <c r="R13" i="1"/>
  <c r="P13" i="1"/>
  <c r="R12" i="1"/>
  <c r="S12" i="1" s="1"/>
  <c r="P12" i="1"/>
  <c r="R11" i="1"/>
  <c r="P11" i="1"/>
  <c r="P5" i="1" s="1"/>
  <c r="O11" i="1"/>
  <c r="N11" i="1"/>
  <c r="M11" i="1"/>
  <c r="L11" i="1"/>
  <c r="K11" i="1"/>
  <c r="J11" i="1"/>
  <c r="I11" i="1"/>
  <c r="H11" i="1"/>
  <c r="S11" i="1" s="1"/>
  <c r="Q10" i="1"/>
  <c r="P10" i="1"/>
  <c r="O10" i="1"/>
  <c r="N10" i="1"/>
  <c r="M10" i="1"/>
  <c r="L10" i="1"/>
  <c r="K10" i="1"/>
  <c r="I10" i="1"/>
  <c r="H10" i="1"/>
  <c r="Q9" i="1"/>
  <c r="P9" i="1"/>
  <c r="O9" i="1"/>
  <c r="N9" i="1"/>
  <c r="M9" i="1"/>
  <c r="L9" i="1"/>
  <c r="K9" i="1"/>
  <c r="J9" i="1"/>
  <c r="I9" i="1"/>
  <c r="H9" i="1"/>
  <c r="R8" i="1"/>
  <c r="P8" i="1"/>
  <c r="M8" i="1"/>
  <c r="S8" i="1" s="1"/>
  <c r="P7" i="1"/>
  <c r="O7" i="1"/>
  <c r="N7" i="1"/>
  <c r="M7" i="1"/>
  <c r="M5" i="1" s="1"/>
  <c r="L7" i="1"/>
  <c r="L5" i="1" s="1"/>
  <c r="K7" i="1"/>
  <c r="J7" i="1"/>
  <c r="I7" i="1"/>
  <c r="I5" i="1" s="1"/>
  <c r="H7" i="1"/>
  <c r="H5" i="1" s="1"/>
  <c r="R6" i="1"/>
  <c r="P6" i="1"/>
  <c r="S6" i="1" s="1"/>
  <c r="O5" i="1"/>
  <c r="N5" i="1"/>
  <c r="K5" i="1"/>
  <c r="J64" i="13" l="1"/>
  <c r="J61" i="13"/>
  <c r="Q63" i="13"/>
  <c r="S49" i="13"/>
  <c r="M64" i="13"/>
  <c r="K64" i="13"/>
  <c r="K61" i="13"/>
  <c r="I64" i="13"/>
  <c r="I61" i="13"/>
  <c r="S41" i="13"/>
  <c r="R57" i="13"/>
  <c r="S57" i="13"/>
  <c r="O52" i="13"/>
  <c r="O61" i="13" s="1"/>
  <c r="O64" i="13" s="1"/>
  <c r="S8" i="13"/>
  <c r="R15" i="13"/>
  <c r="R16" i="13"/>
  <c r="S16" i="13" s="1"/>
  <c r="R17" i="13"/>
  <c r="S17" i="13" s="1"/>
  <c r="R18" i="13"/>
  <c r="S18" i="13" s="1"/>
  <c r="Q20" i="13"/>
  <c r="R20" i="13" s="1"/>
  <c r="L29" i="13"/>
  <c r="L64" i="13" s="1"/>
  <c r="P29" i="13"/>
  <c r="V19" i="13" s="1"/>
  <c r="S38" i="13"/>
  <c r="R40" i="13"/>
  <c r="S40" i="13" s="1"/>
  <c r="R41" i="13"/>
  <c r="R49" i="13"/>
  <c r="H52" i="13"/>
  <c r="R55" i="13"/>
  <c r="H63" i="13"/>
  <c r="S15" i="13"/>
  <c r="S19" i="13"/>
  <c r="Q52" i="13"/>
  <c r="Q61" i="13" s="1"/>
  <c r="S55" i="13"/>
  <c r="S59" i="13"/>
  <c r="S7" i="13"/>
  <c r="S54" i="13"/>
  <c r="R31" i="11"/>
  <c r="S31" i="11"/>
  <c r="R32" i="11"/>
  <c r="S32" i="11"/>
  <c r="S12" i="11"/>
  <c r="R22" i="11"/>
  <c r="S22" i="11"/>
  <c r="R33" i="11"/>
  <c r="S33" i="11" s="1"/>
  <c r="S34" i="11"/>
  <c r="P37" i="11"/>
  <c r="Q9" i="11"/>
  <c r="R10" i="11"/>
  <c r="S10" i="11" s="1"/>
  <c r="Q13" i="11"/>
  <c r="R13" i="11" s="1"/>
  <c r="H23" i="11"/>
  <c r="P23" i="11"/>
  <c r="P35" i="11" s="1"/>
  <c r="M38" i="11"/>
  <c r="S38" i="11" s="1"/>
  <c r="K23" i="11"/>
  <c r="K35" i="11" s="1"/>
  <c r="R7" i="9"/>
  <c r="Q99" i="9"/>
  <c r="R99" i="9" s="1"/>
  <c r="S153" i="9"/>
  <c r="K149" i="9"/>
  <c r="K57" i="9"/>
  <c r="K150" i="9"/>
  <c r="K152" i="9"/>
  <c r="Q10" i="9"/>
  <c r="R10" i="9" s="1"/>
  <c r="S10" i="9" s="1"/>
  <c r="R15" i="9"/>
  <c r="S15" i="9" s="1"/>
  <c r="Q20" i="9"/>
  <c r="R20" i="9" s="1"/>
  <c r="Q21" i="9"/>
  <c r="R21" i="9" s="1"/>
  <c r="Q22" i="9"/>
  <c r="R22" i="9" s="1"/>
  <c r="Q23" i="9"/>
  <c r="R23" i="9" s="1"/>
  <c r="Q34" i="9"/>
  <c r="R34" i="9" s="1"/>
  <c r="S34" i="9"/>
  <c r="S43" i="9"/>
  <c r="S45" i="9"/>
  <c r="P115" i="9"/>
  <c r="P149" i="9" s="1"/>
  <c r="S69" i="9"/>
  <c r="Q69" i="9"/>
  <c r="R69" i="9" s="1"/>
  <c r="S75" i="9"/>
  <c r="S79" i="9"/>
  <c r="S100" i="9"/>
  <c r="Q100" i="9"/>
  <c r="R100" i="9" s="1"/>
  <c r="S105" i="9"/>
  <c r="Q105" i="9"/>
  <c r="R105" i="9" s="1"/>
  <c r="S107" i="9"/>
  <c r="R107" i="9"/>
  <c r="S121" i="9"/>
  <c r="R121" i="9"/>
  <c r="L149" i="9"/>
  <c r="R59" i="9"/>
  <c r="S59" i="9" s="1"/>
  <c r="S94" i="9"/>
  <c r="S101" i="9"/>
  <c r="R101" i="9"/>
  <c r="S147" i="9"/>
  <c r="R147" i="9"/>
  <c r="N149" i="9"/>
  <c r="P57" i="9"/>
  <c r="V116" i="9" s="1"/>
  <c r="W116" i="9" s="1"/>
  <c r="S9" i="9"/>
  <c r="S19" i="9"/>
  <c r="S29" i="9"/>
  <c r="Q35" i="9"/>
  <c r="R35" i="9" s="1"/>
  <c r="S53" i="9"/>
  <c r="S65" i="9"/>
  <c r="S71" i="9"/>
  <c r="S73" i="9"/>
  <c r="S77" i="9"/>
  <c r="S84" i="9"/>
  <c r="R85" i="9"/>
  <c r="S85" i="9" s="1"/>
  <c r="R88" i="9"/>
  <c r="S88" i="9" s="1"/>
  <c r="M150" i="9"/>
  <c r="I152" i="9"/>
  <c r="S93" i="9"/>
  <c r="S109" i="9"/>
  <c r="S110" i="9"/>
  <c r="S111" i="9"/>
  <c r="S112" i="9"/>
  <c r="S113" i="9"/>
  <c r="S114" i="9"/>
  <c r="S124" i="9"/>
  <c r="S125" i="9"/>
  <c r="S132" i="9"/>
  <c r="S133" i="9"/>
  <c r="S134" i="9"/>
  <c r="S135" i="9"/>
  <c r="S136" i="9"/>
  <c r="S137" i="9"/>
  <c r="S138" i="9"/>
  <c r="S139" i="9"/>
  <c r="S140" i="9"/>
  <c r="S141" i="9"/>
  <c r="J148" i="9"/>
  <c r="J149" i="9" s="1"/>
  <c r="J152" i="9"/>
  <c r="H115" i="9"/>
  <c r="L115" i="9"/>
  <c r="S108" i="9"/>
  <c r="Q123" i="9"/>
  <c r="H148" i="9"/>
  <c r="O155" i="9"/>
  <c r="S47" i="7"/>
  <c r="S25" i="7"/>
  <c r="S23" i="7"/>
  <c r="S21" i="7"/>
  <c r="K66" i="7"/>
  <c r="S7" i="7"/>
  <c r="R10" i="7"/>
  <c r="Q21" i="7"/>
  <c r="R21" i="7" s="1"/>
  <c r="R68" i="7" s="1"/>
  <c r="Q23" i="7"/>
  <c r="R23" i="7" s="1"/>
  <c r="Q24" i="7"/>
  <c r="Q25" i="7"/>
  <c r="R25" i="7" s="1"/>
  <c r="R30" i="7"/>
  <c r="S30" i="7" s="1"/>
  <c r="S38" i="7"/>
  <c r="R46" i="7"/>
  <c r="S46" i="7" s="1"/>
  <c r="R47" i="7"/>
  <c r="Q50" i="7"/>
  <c r="R50" i="7" s="1"/>
  <c r="Q51" i="7"/>
  <c r="R51" i="7" s="1"/>
  <c r="Q52" i="7"/>
  <c r="R52" i="7" s="1"/>
  <c r="Q54" i="7"/>
  <c r="R54" i="7" s="1"/>
  <c r="R55" i="7"/>
  <c r="S55" i="7" s="1"/>
  <c r="L65" i="7"/>
  <c r="L66" i="7" s="1"/>
  <c r="P65" i="7"/>
  <c r="P66" i="7" s="1"/>
  <c r="L67" i="7"/>
  <c r="P67" i="7"/>
  <c r="S10" i="7"/>
  <c r="Q65" i="7"/>
  <c r="N65" i="7"/>
  <c r="N66" i="7" s="1"/>
  <c r="AF20" i="3"/>
  <c r="U20" i="3" s="1"/>
  <c r="AF12" i="3"/>
  <c r="U12" i="3" s="1"/>
  <c r="AF16" i="3"/>
  <c r="U16" i="3" s="1"/>
  <c r="L5" i="2"/>
  <c r="O27" i="2"/>
  <c r="N9" i="2"/>
  <c r="O9" i="2" s="1"/>
  <c r="M16" i="2"/>
  <c r="O16" i="2" s="1"/>
  <c r="O24" i="2"/>
  <c r="M27" i="2"/>
  <c r="O28" i="2"/>
  <c r="M32" i="2"/>
  <c r="O18" i="2"/>
  <c r="O7" i="2" s="1"/>
  <c r="O29" i="2"/>
  <c r="L10" i="2"/>
  <c r="S25" i="1"/>
  <c r="R22" i="1"/>
  <c r="S10" i="1"/>
  <c r="R7" i="1"/>
  <c r="R9" i="1"/>
  <c r="S9" i="1" s="1"/>
  <c r="S24" i="1"/>
  <c r="S7" i="1"/>
  <c r="Q22" i="1"/>
  <c r="S22" i="1" s="1"/>
  <c r="S29" i="13" l="1"/>
  <c r="Q64" i="13"/>
  <c r="P52" i="13"/>
  <c r="P61" i="13" s="1"/>
  <c r="P64" i="13" s="1"/>
  <c r="H61" i="13"/>
  <c r="H64" i="13"/>
  <c r="L52" i="13"/>
  <c r="L61" i="13" s="1"/>
  <c r="R63" i="13"/>
  <c r="S63" i="13" s="1"/>
  <c r="S20" i="13"/>
  <c r="R52" i="13"/>
  <c r="R61" i="13" s="1"/>
  <c r="H35" i="11"/>
  <c r="Q23" i="11"/>
  <c r="R9" i="11"/>
  <c r="S9" i="11" s="1"/>
  <c r="Q37" i="11"/>
  <c r="R37" i="11" s="1"/>
  <c r="S13" i="11"/>
  <c r="R150" i="9"/>
  <c r="Q152" i="9"/>
  <c r="Q115" i="9"/>
  <c r="S7" i="9"/>
  <c r="S99" i="9"/>
  <c r="Q57" i="9"/>
  <c r="S20" i="9"/>
  <c r="Q150" i="9"/>
  <c r="R123" i="9"/>
  <c r="R152" i="9" s="1"/>
  <c r="Q148" i="9"/>
  <c r="H149" i="9"/>
  <c r="S35" i="9"/>
  <c r="S22" i="9"/>
  <c r="S21" i="9"/>
  <c r="S23" i="9"/>
  <c r="R65" i="7"/>
  <c r="R66" i="7" s="1"/>
  <c r="Q66" i="7"/>
  <c r="S66" i="7" s="1"/>
  <c r="Q68" i="7"/>
  <c r="S68" i="7" s="1"/>
  <c r="Q67" i="7"/>
  <c r="S67" i="7" s="1"/>
  <c r="R24" i="7"/>
  <c r="R67" i="7" s="1"/>
  <c r="S65" i="7"/>
  <c r="S24" i="7"/>
  <c r="S51" i="7"/>
  <c r="S52" i="7"/>
  <c r="S50" i="7"/>
  <c r="S54" i="7"/>
  <c r="AB26" i="3"/>
  <c r="AA14" i="3"/>
  <c r="M10" i="2"/>
  <c r="M5" i="2" s="1"/>
  <c r="N32" i="2"/>
  <c r="N10" i="2" s="1"/>
  <c r="N5" i="2" s="1"/>
  <c r="R5" i="1"/>
  <c r="S5" i="1" s="1"/>
  <c r="S64" i="13" l="1"/>
  <c r="S52" i="13"/>
  <c r="S61" i="13"/>
  <c r="R23" i="11"/>
  <c r="Q35" i="11"/>
  <c r="R35" i="11" s="1"/>
  <c r="S23" i="11"/>
  <c r="S35" i="11"/>
  <c r="S37" i="11"/>
  <c r="S152" i="9"/>
  <c r="R148" i="9"/>
  <c r="S148" i="9" s="1"/>
  <c r="Q149" i="9"/>
  <c r="R57" i="9"/>
  <c r="S57" i="9" s="1"/>
  <c r="R149" i="9"/>
  <c r="S149" i="9" s="1"/>
  <c r="Q156" i="9"/>
  <c r="S150" i="9"/>
  <c r="S123" i="9"/>
  <c r="V118" i="9"/>
  <c r="R115" i="9"/>
  <c r="S115" i="9" s="1"/>
  <c r="O32" i="2"/>
  <c r="O10" i="2"/>
  <c r="O5" i="2" s="1"/>
</calcChain>
</file>

<file path=xl/sharedStrings.xml><?xml version="1.0" encoding="utf-8"?>
<sst xmlns="http://schemas.openxmlformats.org/spreadsheetml/2006/main" count="2030" uniqueCount="657">
  <si>
    <t>Приложение № 1
к муниципальной программе 
«Система образования 
города Дивногорска »</t>
  </si>
  <si>
    <t>Информация о распределении планируемых расходов по отдельным мероприятиям программ, подпрограммам государственной программы</t>
  </si>
  <si>
    <t>Статус (муниципальная программа, подпрограмма)</t>
  </si>
  <si>
    <t>Наименование программы, подпрограммы</t>
  </si>
  <si>
    <t>Наименование РБС</t>
  </si>
  <si>
    <t>Код бюджетной классификации</t>
  </si>
  <si>
    <t>Расходы (тыс. руб.), годы</t>
  </si>
  <si>
    <t>РБС</t>
  </si>
  <si>
    <t>Рз Пр</t>
  </si>
  <si>
    <t>ЦСР</t>
  </si>
  <si>
    <t>ВР</t>
  </si>
  <si>
    <t>Итого на период</t>
  </si>
  <si>
    <t>Муниципальная программа</t>
  </si>
  <si>
    <t>«Система образования 
города Дивногорска »</t>
  </si>
  <si>
    <t>всего расходное обязательство по программе</t>
  </si>
  <si>
    <t>х</t>
  </si>
  <si>
    <t>в том числе по РБС:</t>
  </si>
  <si>
    <t>Отдел образования администрации города Дивногорска</t>
  </si>
  <si>
    <t>975</t>
  </si>
  <si>
    <t>Администрация города Дивногорска</t>
  </si>
  <si>
    <t>906</t>
  </si>
  <si>
    <t>МСКУ "МЦБ"</t>
  </si>
  <si>
    <t>976</t>
  </si>
  <si>
    <t>Подпрограмма 1</t>
  </si>
  <si>
    <t>«Дошкольное образование детей»</t>
  </si>
  <si>
    <t>Управление социальной защиты администрации города Дивногорска</t>
  </si>
  <si>
    <t>948</t>
  </si>
  <si>
    <t>Подпрограмма 2</t>
  </si>
  <si>
    <t>«Общее и дополнительное образование детей»</t>
  </si>
  <si>
    <t>Подпрограмма 3</t>
  </si>
  <si>
    <t>«Обеспечение безопасного качественного отдыха и оздоровления детей в период каникул»</t>
  </si>
  <si>
    <t>Подпрограмма 4</t>
  </si>
  <si>
    <t>«Обеспечение реализации муниципальной программы и прочие мероприятия в области образования»</t>
  </si>
  <si>
    <t>Начальник отдела образования администрации города Дивногорска</t>
  </si>
  <si>
    <t>Г.В. Кабацура</t>
  </si>
  <si>
    <t>Приложение № 2
к муниципальной программе 
«Система образования 
города Дивногорска »</t>
  </si>
  <si>
    <t>Информация о ресурсном обеспечении и прогнозной оценке расходов на реализацию целей муниципальной программы 
с учетом источников финансирования, в том числе средств краевого бюджета и бюджета муниципального образования город Дивногорск</t>
  </si>
  <si>
    <t>Статус</t>
  </si>
  <si>
    <t>Наименование муниципальной программы, подпрограммы муниципальной программы</t>
  </si>
  <si>
    <t>Ответственный исполнитель, соисполнители</t>
  </si>
  <si>
    <t>Оценка расходов 
(тыс. руб.), годы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</si>
  <si>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</si>
  <si>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</si>
  <si>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</si>
  <si>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</si>
  <si>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</si>
  <si>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</si>
  <si>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</si>
  <si>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</si>
  <si>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</si>
  <si>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</si>
  <si>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2024 год</t>
  </si>
  <si>
    <t>Всего</t>
  </si>
  <si>
    <t>в том числе:</t>
  </si>
  <si>
    <t xml:space="preserve">федеральный бюджет </t>
  </si>
  <si>
    <t xml:space="preserve">краевой бюджет </t>
  </si>
  <si>
    <t>муниципальный бюджет</t>
  </si>
  <si>
    <t>внебюджетные источники</t>
  </si>
  <si>
    <t xml:space="preserve">Подпрограмма 1 </t>
  </si>
  <si>
    <t xml:space="preserve">       краевой бюджет </t>
  </si>
  <si>
    <t xml:space="preserve">      муниципальный бюджет</t>
  </si>
  <si>
    <t xml:space="preserve">      внебюджетные источники</t>
  </si>
  <si>
    <t xml:space="preserve">Подпрограмма 2 </t>
  </si>
  <si>
    <t xml:space="preserve">     краевой бюджет </t>
  </si>
  <si>
    <t xml:space="preserve">    муниципальный бюджет</t>
  </si>
  <si>
    <t xml:space="preserve">    внебюджетные источники</t>
  </si>
  <si>
    <t xml:space="preserve"> Начальник отдела образования администрации города Дивногорска</t>
  </si>
  <si>
    <t>Приложение № 3
к муниципальной программе 
«Система образования 
города Дивногорска »</t>
  </si>
  <si>
    <t>Прогноз сводных показателей муниципальных заданий на оказание муниципальных услуг муниципальными учреждениями 
по муниципальной программе «Система образования города Дивногорска»</t>
  </si>
  <si>
    <t>Наименование услуги, показателя объема услуги (работы)</t>
  </si>
  <si>
    <t>Значение показателя объема услуги (работы)</t>
  </si>
  <si>
    <t>Расходы муниципального бюджета на оказание (выполнение) муниципальной услуги (работы), тыс. руб.</t>
  </si>
  <si>
    <t>Наименование услуги и ее содержание: реализация основных общеобразовательных программ дошкольного образования</t>
  </si>
  <si>
    <t>Показатель объема услуги:</t>
  </si>
  <si>
    <t>Количество детей от 2-х мес. до 7 лет</t>
  </si>
  <si>
    <t>Подпрограмма 1. «Дошкольное образование детей»</t>
  </si>
  <si>
    <t>Обеспечение деятельности (оказание услуг) подведомственных учреждений</t>
  </si>
  <si>
    <t>Раздел 0701</t>
  </si>
  <si>
    <t>Наименование услуги и ее содержание: реализация основных общеобразовательных программ начального общего образования</t>
  </si>
  <si>
    <t>Количество детей от 6 лет 6 мес. до 10 лет</t>
  </si>
  <si>
    <t>Подпрограмма 2. «Общее и дополнительное образование детей»</t>
  </si>
  <si>
    <t>Раздел 0702</t>
  </si>
  <si>
    <t>Наименование услуги и ее содержание: реализация основных общеобразовательных программ основного общего образования</t>
  </si>
  <si>
    <t>Количество детей с 11 до 15 лет</t>
  </si>
  <si>
    <t>Раздел 0702+1003</t>
  </si>
  <si>
    <t>Наименование услуги и ее содержание: реализация основных общеобразовательных программ среднего общего образования</t>
  </si>
  <si>
    <t>Количество детей с 16 до 18 лет</t>
  </si>
  <si>
    <t>Количество детей с 6 лет 6 мес. до 18 лет</t>
  </si>
  <si>
    <t>Подпрограмма  3 «Обеспечение безопасного качественного отдыха и оздоровления детей в период каникул»</t>
  </si>
  <si>
    <t>ДДТ</t>
  </si>
  <si>
    <t>Наименование услуги и ее содержание:  реализация дополнительных общеобразовательных общеразвивающих программ</t>
  </si>
  <si>
    <t>Количество детей с 6 лет до 18 лет</t>
  </si>
  <si>
    <t>Раздел 0703</t>
  </si>
  <si>
    <t>Наименование услуги и ее содержание: Услуга по организации предоставления психого-медико-педагогической помощи детям с ограниченными возможностями здоровья</t>
  </si>
  <si>
    <t>Количество детей от 0 до 18 лет</t>
  </si>
  <si>
    <t xml:space="preserve">Приложение № 1 
к Паспорту муниципальной программы  
 «Система образования города Дивногорска» </t>
  </si>
  <si>
    <t>Перечень целевых показателей и показателей результативности программы с расшифровкой плановых значений по годам ее реализации</t>
  </si>
  <si>
    <t>№ п/п</t>
  </si>
  <si>
    <t xml:space="preserve">Цели, задачи, показатели </t>
  </si>
  <si>
    <t>Единица измерения</t>
  </si>
  <si>
    <t xml:space="preserve">Вес показателя </t>
  </si>
  <si>
    <t>Источник информации</t>
  </si>
  <si>
    <t>2011 год</t>
  </si>
  <si>
    <t>Цель: обеспечение высокого качества образования, соответствующего потребностям граждан и перспективным задачам развития экономики Красноярского края, реализация мероприятий, направленных на развитие семейных форм воспитания детей-сирот, детей, оставшихся без попечения родителей, отдыха и оздоровления детей в период каникул</t>
  </si>
  <si>
    <t>Удельный вес численности населения в возрасте 5-18 лет, охваченного образованием, в общей численности населения в возрасте 5-18 лет по МО г. Дивногорск</t>
  </si>
  <si>
    <t>%</t>
  </si>
  <si>
    <t>Х</t>
  </si>
  <si>
    <t>Гос. стат. отчетность</t>
  </si>
  <si>
    <t>2</t>
  </si>
  <si>
    <t>Отношение численности детей в возрасте 3–7 лет, которым предоставлена возможность получать услуги дошкольного образования, к общей численности детей в возрасте от 3 до 7 лет, проживающих на территории г. Дивногорска (с учетом групп кратковременного пребывания)</t>
  </si>
  <si>
    <t>Ведомственная отчетность</t>
  </si>
  <si>
    <t>3</t>
  </si>
  <si>
    <t>Доля выпускников муниципальных общеобразовательных организаций г. Дивногорска, получивших аттестат о среднем образовании, в общей численности выпускников муниципальных общеобразовательных организаций</t>
  </si>
  <si>
    <t>4</t>
  </si>
  <si>
    <t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 г. Дивногорска</t>
  </si>
  <si>
    <t>Задача 1.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</si>
  <si>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Подпрограмма 1 «Дошкольное образование  детей»</t>
  </si>
  <si>
    <t>Обеспечить доступность дошкольного образования, соответствующего единому стандарту качества дошкольного образования</t>
  </si>
  <si>
    <t>1.1.1</t>
  </si>
  <si>
    <t>Обеспеченность детей дошкольного возраста местами в дошкольных образовательных учреждениях (количество мест на 1000 детей)</t>
  </si>
  <si>
    <t>ведомственная отчетность</t>
  </si>
  <si>
    <t>1.1.2</t>
  </si>
  <si>
    <t>Доля детей в возрасте от трех до семи лет, получающих дошкольную образовательную услугу и (или) услугу по их содержанию в организациях различной организационно-правовой формы и формы собственности, в общей численности детей от трех до семи лет</t>
  </si>
  <si>
    <t>1.1.3</t>
  </si>
  <si>
    <t>Удельный вес воспитанников дошкольных образовательных организаций г. Дивногорска,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</si>
  <si>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_</t>
  </si>
  <si>
    <t>1.1.4</t>
  </si>
  <si>
    <t xml:space="preserve"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 </t>
  </si>
  <si>
    <t>25(3)</t>
  </si>
  <si>
    <t>80(10)</t>
  </si>
  <si>
    <t>Задача 2. обеспечение потребности населения в качественном доступном общем и дополнительном образовании.</t>
  </si>
  <si>
    <t xml:space="preserve">Подпрограмма 2 «Общее и дополнительное образование детей» </t>
  </si>
  <si>
    <t>Обеспечить создание  в общеобразовательных учреждениях города Дивногорска безопасных и комфортных условий, соответствующих требованиям надзорных органов</t>
  </si>
  <si>
    <t>2.1.1</t>
  </si>
  <si>
    <t>Доля муниципальных образовательных учреждений, в которых произведен выборочный капитальный ремонт зданий и сооружений</t>
  </si>
  <si>
    <t>-</t>
  </si>
  <si>
    <t>2.1.2</t>
  </si>
  <si>
    <t>Доля детей, охваченных горячим питанием в школах</t>
  </si>
  <si>
    <t>2.1.3</t>
  </si>
  <si>
    <t>Число дней пропусков занятий по болезни в расчете на одного ученика</t>
  </si>
  <si>
    <t>ед.</t>
  </si>
  <si>
    <t>2.1.4</t>
  </si>
  <si>
    <t>Отсутствие детского травматизма в урочное время</t>
  </si>
  <si>
    <t>2.1.5</t>
  </si>
  <si>
    <t>Увеличение числа автобусов, соответствующих требованиям безопасной и комфортной перевозки детей</t>
  </si>
  <si>
    <t>Создать условия для получения детьми качественного образования в общеобразовательных учреждениях, обеспечить мониторинг качества</t>
  </si>
  <si>
    <t>2.2.1</t>
  </si>
  <si>
    <t>Доля средних и основных общеобразовательных школ, в которых действуют управляющие советы</t>
  </si>
  <si>
    <t>2.2.2</t>
  </si>
  <si>
    <t>Доля педагогов, прошедших курсовую подготовку (не менее 1 раза в 5 лет), в том числе по ФГОС нового поколения</t>
  </si>
  <si>
    <t>2.2.3</t>
  </si>
  <si>
    <t>Доля учителей государственных (муниципальных) общеобразовательных учреждений, имеющих стаж педагогической работы до 5 лет, в общей численности учителей государственных (муниципальных) общеобразовательных учреждений</t>
  </si>
  <si>
    <t>2.2.4</t>
  </si>
  <si>
    <t>Доля обучающихся в государственных (муниципальных) общеобразовательных организациях, занимающихся во вторую (третью) смену, в общей численности обучающихся в государственных (муниципальных)  общеобразовательных организаций</t>
  </si>
  <si>
    <t>2.2.5</t>
  </si>
  <si>
    <t xml:space="preserve">Доля  обучающихся общеобразовательных учреждений, охваченных психолого-педагогической и медико-социальной помощью, от общей численности  обучающихся общеобразовательных учреждений </t>
  </si>
  <si>
    <t>2.2.6</t>
  </si>
  <si>
    <t>Доля выпускников муниципальных общеобразовательных организаций, не сдавших единый государственный экзамен, в общей численности выпускников государственных (муниципальных) общеобразовательных организаций и не получивших аттестат о среднем образовании</t>
  </si>
  <si>
    <t>2.2.7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</si>
  <si>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русскому языку</t>
  </si>
  <si>
    <t>2.2.8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</si>
  <si>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математике</t>
  </si>
  <si>
    <t>2.2.9</t>
  </si>
  <si>
    <t>Доля учащихся, принимающих участие в итоговых контрольных работах по русскому языку и математике в 4-х классах</t>
  </si>
  <si>
    <t>2.2.10</t>
  </si>
  <si>
    <t>Доля детей с ограниченными возможностями здоровья и детей-инвалидов, получающихся качественное общее образование с использованием современного оборудования ( в том числе с использованием дистанционных образовательных технологий), от общей численности детей с ограниченными возможностями здоровья и детей-инвалидов школьного возраста</t>
  </si>
  <si>
    <t>Создать условия для получения детьми качественного дополнительного образования, выявления и поддержки  одаренных детей</t>
  </si>
  <si>
    <t>2.3.1</t>
  </si>
  <si>
    <t>Удельный вес численности детей, получающих услуги дополнительного образования, в общей численности детей в возрасте 7–18 лет</t>
  </si>
  <si>
    <t>2.3.2</t>
  </si>
  <si>
    <r>
      <t>Доля школьников, привлеченных к участию в спортивно-массовых мероприятиях</t>
    </r>
    <r>
      <rPr>
        <i/>
        <sz val="11"/>
        <rFont val="Times New Roman"/>
        <family val="1"/>
        <charset val="204"/>
      </rPr>
      <t xml:space="preserve"> </t>
    </r>
  </si>
  <si>
    <t>2.3.3</t>
  </si>
  <si>
    <t>Доля школьников 5-11 классов, включенных в учебно-исследовательскую, проектную деятельность к общему числу этой категории</t>
  </si>
  <si>
    <t>Содействовать выявлению и поддержке одаренных детей</t>
  </si>
  <si>
    <t>2.4.1</t>
  </si>
  <si>
    <t xml:space="preserve">Удельный вес численности обучающихся по программам общего образования, участвующих в олимпиадах и конкурсах различного уровня, 
в общей численности обучающихся по программам общего образования
</t>
  </si>
  <si>
    <t>Задача 3. Создание равных возможностей и условий для современного качественного образования, позитивной социализации и оздоровления детей в период каникул</t>
  </si>
  <si>
    <t>Подпрограмма 3 «Обеспечение безопасного качественного отдыха и оздоровления детей в период каникул»</t>
  </si>
  <si>
    <t>Обеспечить безопасный, комфортный и качественный отдых в летний период</t>
  </si>
  <si>
    <t>3.1.1</t>
  </si>
  <si>
    <t>Доля оздоровленных детей школьного возраста</t>
  </si>
  <si>
    <t xml:space="preserve">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</si>
  <si>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</t>
  </si>
  <si>
    <t>Доля детей школьного возраста, вовлеченных в городские массовые мероприятия от общего числа детей школьного возраста</t>
  </si>
  <si>
    <t>3.2.2</t>
  </si>
  <si>
    <t>Доля детей (6-14 лет), состоящих на учете в ОУУПи ДН, вовлеченных в городские массовые мероприятия, от общего числа детей состоящих на учете в ОУУПи ДН, данного возраста</t>
  </si>
  <si>
    <t>Задача 4. Создание условий для эффективного управления отраслью</t>
  </si>
  <si>
    <t>Подпрограмма 4 «Обеспечение реализации муниципальной программы и прочие мероприятия в области образования»</t>
  </si>
  <si>
    <t>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</si>
  <si>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</t>
  </si>
  <si>
    <t>Фактические расходы на материальное обеспечение образовательного процесса на одного учащегося</t>
  </si>
  <si>
    <t>руб</t>
  </si>
  <si>
    <t>4.1.2.</t>
  </si>
  <si>
    <t>Среднемесячная номинальная начисленная заработная плата учителей муниципальных общеобразовательных учреждений</t>
  </si>
  <si>
    <t>4.1.3.</t>
  </si>
  <si>
    <t>Среднемесячная номинальная начисленная заработная плата прочего персонала (административно-управленческого, учебно-вспомогательного, младшего обслуживающего персонала, а также, педагогических работников, не осуществляющих учебный процесс)</t>
  </si>
  <si>
    <t>4.1.4.</t>
  </si>
  <si>
    <t>Средняя наполняемость классов в городских школах</t>
  </si>
  <si>
    <t>человек</t>
  </si>
  <si>
    <t>4.1.5.</t>
  </si>
  <si>
    <t>Средняя наполняемость классов в сельской школе</t>
  </si>
  <si>
    <t>4.1.6.</t>
  </si>
  <si>
    <t>Соотношение численности учителей (среднегодовой) государственных (муниципальных) общеобразовательных учреждений и численности прочего персонала (среднегодовой) (административно-управленческого, учебно-вспомогательного, младшего обслуживающего персонала, а также педагогических работников, не осуществляющих учебный процесс)</t>
  </si>
  <si>
    <t>доля</t>
  </si>
  <si>
    <t>4.1.7.</t>
  </si>
  <si>
    <t>Количество проведенных в соответствии с законодательством процедур проверок</t>
  </si>
  <si>
    <t>4.1.8.</t>
  </si>
  <si>
    <r>
      <t xml:space="preserve">Своевременное доведение  распорядителем лимитов бюджетных обязательств до подведомственных учреждений, предусмотренных решением о бюджете за отчетный год 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  <r>
      <rPr>
        <sz val="12"/>
        <rFont val="Times New Roman"/>
        <family val="1"/>
        <charset val="204"/>
      </rPr>
      <t xml:space="preserve">
</t>
    </r>
  </si>
  <si>
    <t>балл</t>
  </si>
  <si>
    <t>Финансовое управление администрации города Дивногорска</t>
  </si>
  <si>
    <t>4.1.9.</t>
  </si>
  <si>
    <r>
      <t xml:space="preserve">Соблюдение сроков предоставления  бюджетной отчетности </t>
    </r>
    <r>
      <rPr>
        <i/>
        <sz val="12"/>
        <rFont val="Times New Roman"/>
        <family val="1"/>
        <charset val="204"/>
      </rPr>
      <t>(МСКУ "МЦБ")</t>
    </r>
  </si>
  <si>
    <t>4.1.10.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</si>
  <si>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</si>
  <si>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4.1.11.</t>
  </si>
  <si>
    <r>
      <t xml:space="preserve">Своевременность утверждения планов финансово-хозяйственной деятельности подведомственных распорядителю учреждений на текущий финансовый год и плановый период в соответствии со  сроками, утвержденными органами исполнительной власти Красноярского края, осуществляющими функции и полномочия учредителя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</si>
  <si>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4.1.12.</t>
  </si>
  <si>
    <t xml:space="preserve">Своевременность предоставления уточненного фрагмента реестра расходных обязательств распорядителя (МСКУ "МЦБ")
</t>
  </si>
  <si>
    <t>4.1.13.</t>
  </si>
  <si>
    <t>Уровень исполнения расходов распорядителя за счет средств местного бюджета (без учета межбюджетных трансфертов)(Отдел образования администрации города, МСКУ "МЦБ")</t>
  </si>
  <si>
    <t>4.1.14.</t>
  </si>
  <si>
    <t>Доля исполненных бюджетных ассигнований, предусмотренных в программном виде (Отдел образования администрации города, МСКУ "МЦБ")</t>
  </si>
  <si>
    <t>4.1.15</t>
  </si>
  <si>
    <t>Качество порядка составления, утверждения и ведения бюдетных смет и ПФХД обслуживаемых учреждений (МСКУ "МЦБ")</t>
  </si>
  <si>
    <t>4.1.16.</t>
  </si>
  <si>
    <t>Оценка качества планирования бюджетных ассигнований (МСКУ "МЦБ")</t>
  </si>
  <si>
    <t>4.1.17.</t>
  </si>
  <si>
    <t>Наличие у распорядителя и обслуживаемых учреждений просроченной кредиторской задолженности и нереальной к взысканию дебиторской задолженности (МСКУ "МЦБ")</t>
  </si>
  <si>
    <t>4.1.18.</t>
  </si>
  <si>
    <t>Отсутствие нарушений бюджетного законадательства, выявленных в ходе проведения внешних контрольных мероприятий в отчетном финансовом году (Отдел образования администрации города, МСКУ "МЦБ")</t>
  </si>
  <si>
    <t>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</si>
  <si>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4.2.1.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</si>
  <si>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 воспитание в семьи посторонних граждан.</t>
  </si>
  <si>
    <t>чел.</t>
  </si>
  <si>
    <t>4.2.2.</t>
  </si>
  <si>
    <t>Количество детей-сирот и детей, оставшихся без попечения родителей, лиц из числа детей-сирот и детей, оставшихся без попечения родителей, не имеющих закрепленного жилого помещения, в том числе поставленных на учет на получение жилого помещения в министерстве образования и науки Красноярского края, включая лиц в возрасте от 23 лет и старше, обеспеченных жилыми помещениями за отчетный год</t>
  </si>
  <si>
    <t>127(6)</t>
  </si>
  <si>
    <t>125(5)</t>
  </si>
  <si>
    <t>123(7)</t>
  </si>
  <si>
    <t>85(57)</t>
  </si>
  <si>
    <t>87(59)</t>
  </si>
  <si>
    <t>87(55)</t>
  </si>
  <si>
    <t>89(57)</t>
  </si>
  <si>
    <t>Г.В.Кабацура</t>
  </si>
  <si>
    <t xml:space="preserve">Приложение № 2
к Паспорту муниципальной программы  
 «Система образования города Дивногорска» </t>
  </si>
  <si>
    <t>Значение целевых показателей на долгосрочный период</t>
  </si>
  <si>
    <t>Цели, целевые показатели</t>
  </si>
  <si>
    <t>2010 год</t>
  </si>
  <si>
    <t>2012 год</t>
  </si>
  <si>
    <t>2013 год</t>
  </si>
  <si>
    <t>плановый период</t>
  </si>
  <si>
    <t>долгосрочный период</t>
  </si>
  <si>
    <t>ю</t>
  </si>
  <si>
    <t>Приложение № 1 
к Паспорту  подпрограммы 1 «Дошкольное образование  детей»</t>
  </si>
  <si>
    <t>Перечень целевых индикаторов подпрограммы</t>
  </si>
  <si>
    <t>Цель, целевые индикаторы</t>
  </si>
  <si>
    <t>Цель: предоставление общедоступного и качественного дошкольного образования для  детей с разными образовательными потребностями</t>
  </si>
  <si>
    <t>Задача № 1 Обеспечить доступность дошкольного образования, соответствующего федеральным государственным стандартам</t>
  </si>
  <si>
    <t>1.1</t>
  </si>
  <si>
    <t>1.2</t>
  </si>
  <si>
    <t>1.3</t>
  </si>
  <si>
    <t>Удельный вес воспитанников дошкольных образовательных организаций,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</si>
  <si>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1.4</t>
  </si>
  <si>
    <t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</t>
  </si>
  <si>
    <t>Приложение № 2
к Паспорту  подпрограммы 1 «Дошкольное образование детей»</t>
  </si>
  <si>
    <t>Перечень мероприятий подпрограммы с указанием объема средств на их реализацию и ожидаемых результатов</t>
  </si>
  <si>
    <t xml:space="preserve">Цели, задачи, мероприятия </t>
  </si>
  <si>
    <t>Ожидаемый результат от реализации подпрограммного мероприятия 
(в натуральном выражении)</t>
  </si>
  <si>
    <t>Цель: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</si>
  <si>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Задача № 1 Обеспечить доступность дошкольного образования, соответствующего единому стандарту качества дошкольного образования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</si>
  <si>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</t>
  </si>
  <si>
    <t>отдел образования администрации города Дивногорска</t>
  </si>
  <si>
    <t>0701</t>
  </si>
  <si>
    <t>0110080610</t>
  </si>
  <si>
    <t>611</t>
  </si>
  <si>
    <t>1726 детей получат услуги дошкольного образования</t>
  </si>
  <si>
    <t>612</t>
  </si>
  <si>
    <t>621</t>
  </si>
  <si>
    <t>622</t>
  </si>
  <si>
    <t>011008061Р</t>
  </si>
  <si>
    <t>011008061Т</t>
  </si>
  <si>
    <t>011008061Z</t>
  </si>
  <si>
    <t>870</t>
  </si>
  <si>
    <t>0110080710</t>
  </si>
  <si>
    <t>01100L0271</t>
  </si>
  <si>
    <t>01100S8400</t>
  </si>
  <si>
    <t>01100S3980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</si>
  <si>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учреждениях(кр.б.)</t>
  </si>
  <si>
    <t xml:space="preserve">975 </t>
  </si>
  <si>
    <t>0110073980</t>
  </si>
  <si>
    <t>0110075880</t>
  </si>
  <si>
    <t>0110074080</t>
  </si>
  <si>
    <t>011001047А, 0110010230, 0110010490</t>
  </si>
  <si>
    <t>011001047Б, 0110010230, 0110010490</t>
  </si>
  <si>
    <t xml:space="preserve"> 0110010350</t>
  </si>
  <si>
    <t>0110078400</t>
  </si>
  <si>
    <t>0110077440</t>
  </si>
  <si>
    <t>011022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</si>
  <si>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 (род.плата, внебюджет)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</si>
  <si>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(кр.бюджет)</t>
  </si>
  <si>
    <t>0117746</t>
  </si>
  <si>
    <t>12 зданий ДОУ соответствуют требованиям правил пожарной безопасности, строительным нормам и правилам, санитарным нормам и правилам</t>
  </si>
  <si>
    <t>0117744</t>
  </si>
  <si>
    <t>Расходы муниципальных учреждений за содействие развитию налогового потенциал</t>
  </si>
  <si>
    <t>0110077450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</si>
  <si>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(местный бюджет)</t>
  </si>
  <si>
    <t>0118746</t>
  </si>
  <si>
    <t xml:space="preserve">Финансирование (возмещение) расходов на выплаты воспитателям в муниципальных образовательных учреждениях, реализующих основную общеобразовательную программу дошкольного образования детей, </t>
  </si>
  <si>
    <t>01100S5580</t>
  </si>
  <si>
    <t>Выплата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 детей</t>
  </si>
  <si>
    <t>1004</t>
  </si>
  <si>
    <t>0110075560</t>
  </si>
  <si>
    <t>320</t>
  </si>
  <si>
    <t xml:space="preserve">Компенсацию части родительской платы получат в 2017 году 742 человека
</t>
  </si>
  <si>
    <t>244</t>
  </si>
  <si>
    <t>1.1.5</t>
  </si>
  <si>
    <t xml:space="preserve">Обеспечение содержания в муниципальных дошкольных образовательных учреждениях (группах) детей без взимания родительской платы </t>
  </si>
  <si>
    <t>0110075540</t>
  </si>
  <si>
    <t xml:space="preserve">В 3 ДОУ города содержится  43 детей без взимания родительской платы </t>
  </si>
  <si>
    <t>1.1.6</t>
  </si>
  <si>
    <t>Создание дополнительных мест в системе дошкольного образования детей (кр.б.)</t>
  </si>
  <si>
    <t>0117421</t>
  </si>
  <si>
    <t>Введено  135 дополнительных  мест для детей дошкольного возраста, в том  числе по годам:    
2014 - 84 мест;   
2015 - 51 мест</t>
  </si>
  <si>
    <t>0115059</t>
  </si>
  <si>
    <t>1.1.7</t>
  </si>
  <si>
    <t>Создание дополнительных мест в системе дошкольного образования детей (м.б.)</t>
  </si>
  <si>
    <t>0118421</t>
  </si>
  <si>
    <t>1.1.8</t>
  </si>
  <si>
    <t xml:space="preserve">Участие в краевом конкурсе "Детские сады-детям". Получение субсидии  бюджету муниципального образования г.Дивногорск на денежное поощрение детским садам-победителям конкурса </t>
  </si>
  <si>
    <t>0118099</t>
  </si>
  <si>
    <t>Участие в конкурсе на получение денежных премий лучшими воспитателями образовательных учреждений, реализующих основную общеобразовательную программу дошкольного образования,  денежных премий лучшим детским садам, денежных премий лучшим педагогическим коллективам детских садов.</t>
  </si>
  <si>
    <t>1.1.9</t>
  </si>
  <si>
    <t xml:space="preserve">Проведение мероприятий для дошкольников различной направленности (интеллектуальной, творческой, спортивной) </t>
  </si>
  <si>
    <t>0707</t>
  </si>
  <si>
    <t>0118811</t>
  </si>
  <si>
    <t xml:space="preserve">Ежегодно на муниципальном уровне проводится 3 мероприятия, с общим числом участников не менее 1000 человек </t>
  </si>
  <si>
    <t>Итого по задаче 1</t>
  </si>
  <si>
    <t>Всего по подпрограмме, в том числе:</t>
  </si>
  <si>
    <t>краевой бюджет</t>
  </si>
  <si>
    <t>местный бюджет</t>
  </si>
  <si>
    <t>внебюджет</t>
  </si>
  <si>
    <t>И.о.начальника отдела образования администрации города Дивногорска</t>
  </si>
  <si>
    <t>А.В. Убиенных</t>
  </si>
  <si>
    <t>Приложение № 1 
к Паспорту  подпрограммы 2 «Общее и дополнительное образование детей»</t>
  </si>
  <si>
    <t>Цель:обеспечение потребности населения в качественном доступном общем и дополнительном образовании.</t>
  </si>
  <si>
    <t xml:space="preserve">Задача № 1 Создать безопасные и комфортные условия, соответствующие требованиям надзорных органов </t>
  </si>
  <si>
    <t>Доля образовательных учреждений, в которых произведен выборочный капитальный ремонт зданий и сооружений</t>
  </si>
  <si>
    <t>1.5</t>
  </si>
  <si>
    <t>Задача № 2. Создать условия для получения детьми качественного образования в общеобразовательных учреждениях, соответствующих требованиям ФГОС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</si>
  <si>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</si>
  <si>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</si>
  <si>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</si>
  <si>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</si>
  <si>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</si>
  <si>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</si>
  <si>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</si>
  <si>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</si>
  <si>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</si>
  <si>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</si>
  <si>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Задача № 3. Создать условия для выявления, поддержки и развития  одаренных детей, детей с ограниченными возможностями здоровья</t>
  </si>
  <si>
    <t>3.1</t>
  </si>
  <si>
    <t>3.2</t>
  </si>
  <si>
    <r>
      <t>Доля школьников, привлеченных к участию в спортивных и культурно-массовых мероприятиях</t>
    </r>
    <r>
      <rPr>
        <i/>
        <sz val="11"/>
        <rFont val="Times New Roman"/>
        <family val="1"/>
        <charset val="204"/>
      </rPr>
      <t xml:space="preserve"> </t>
    </r>
    <r>
      <rPr>
        <i/>
        <sz val="11"/>
        <color indexed="10"/>
        <rFont val="Times New Roman"/>
        <family val="1"/>
        <charset val="204"/>
      </rPr>
      <t/>
    </r>
  </si>
  <si>
    <t>3.3</t>
  </si>
  <si>
    <t>Удельный вес численности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</si>
  <si>
    <t>3.4</t>
  </si>
  <si>
    <t>3.5</t>
  </si>
  <si>
    <t>Доля детей в возрасте от 5 до 18 лет, имеющих право на получение дополнительного образования в рамках системы персонифицированного финансирования в общей численности детей в возрасте от 5 до 18 лет</t>
  </si>
  <si>
    <t>Задача № 4. Обеспечить реализацию федеральных проектов в рамках Нацпроекта "Образование"</t>
  </si>
  <si>
    <t>4.1</t>
  </si>
  <si>
    <t>Разработка и внедрение рабочих программ воспитания обучающихся в общеобразовательных организациях.</t>
  </si>
  <si>
    <t>4.2</t>
  </si>
  <si>
    <t>Увеличение численности детей и молодежи в возрасте до 35 лет, вовлеченных в социально активную дечтельность через увеличение охвата патриотическими проектами</t>
  </si>
  <si>
    <t>4.3</t>
  </si>
  <si>
    <t>Создание условий для развития системы межпоколенческого взаимодействия и обеспечения преемственности поколений, поддержки общественных инициатив и проектов, направленных на гражданское и патриотическое воспитание детей и молодежи</t>
  </si>
  <si>
    <t>Приложение № 2
к Паспорту  подпрограммы 2 «Общее и дополнительное образование детей»</t>
  </si>
  <si>
    <t>Цель: обеспечение потребности населения в качественном доступном общем и дополнительном образовании.</t>
  </si>
  <si>
    <t xml:space="preserve">Задача № 1 Создать безопасные и комфортные условия, соответствующие требованиям надзорных органов, в общеобразовательных учреждениях города Дивногорска. </t>
  </si>
  <si>
    <t>Приведение муниципальных общеобразовательных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(кр.б.)</t>
  </si>
  <si>
    <t>0702</t>
  </si>
  <si>
    <t>0127744</t>
  </si>
  <si>
    <t>612,622,244</t>
  </si>
  <si>
    <t>87,5% общеобразовательных организаций соответствуют требованиям действующего законодательства (ППБ 01-03, СанПиН, СНиП), от общего числа школ</t>
  </si>
  <si>
    <t>Подготовка образовательных учреждений к новому учебному году</t>
  </si>
  <si>
    <t>0120080610</t>
  </si>
  <si>
    <r>
      <rPr>
        <sz val="12"/>
        <color indexed="8"/>
        <rFont val="Times New Roman"/>
        <family val="1"/>
        <charset val="204"/>
      </rPr>
      <t xml:space="preserve">6 общеобразовательных учреждений и 1 учреждение </t>
    </r>
    <r>
      <rPr>
        <sz val="12"/>
        <rFont val="Times New Roman"/>
        <family val="1"/>
        <charset val="204"/>
      </rPr>
      <t>дополнительного образования приняты муниципальной комиссией к началу нового учебного года</t>
    </r>
  </si>
  <si>
    <t>0120075630</t>
  </si>
  <si>
    <t>0120078450</t>
  </si>
  <si>
    <t>01200S8450</t>
  </si>
  <si>
    <t>01200S5630</t>
  </si>
  <si>
    <t>0120074300</t>
  </si>
  <si>
    <t>01200S4300</t>
  </si>
  <si>
    <t>012E274300</t>
  </si>
  <si>
    <t>0120078400</t>
  </si>
  <si>
    <t>622,612</t>
  </si>
  <si>
    <t>01200S8400</t>
  </si>
  <si>
    <t>0120088130</t>
  </si>
  <si>
    <t>Обеспечение питанием детей из малообеспеченных семей, обучающихся в муниципальных общеобразовательных учреждениях</t>
  </si>
  <si>
    <t>1003</t>
  </si>
  <si>
    <t>0120075660</t>
  </si>
  <si>
    <t>100% детей из малообеспеченных семей, обучающихся в муниципальных общеобразовательных учреждениях опеспечены горячим питанием</t>
  </si>
  <si>
    <t>Cофинансирование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 1-4 классы</t>
  </si>
  <si>
    <t>01200L3040</t>
  </si>
  <si>
    <t>01200L3040 СОФ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</si>
  <si>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</si>
  <si>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0120074420</t>
  </si>
  <si>
    <t>0120089150</t>
  </si>
  <si>
    <t>Cубсидия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</si>
  <si>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0125027</t>
  </si>
  <si>
    <t>Софинансирование субсидии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</si>
  <si>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0128027</t>
  </si>
  <si>
    <t>2.1.6</t>
  </si>
  <si>
    <t>Расходы на проведение мероприятий, направленных на обеспечение безопасного участия детей в дорожном движении</t>
  </si>
  <si>
    <t>012R373980</t>
  </si>
  <si>
    <t>конкурсная основа участия</t>
  </si>
  <si>
    <t>2.1.7</t>
  </si>
  <si>
    <t>Софинансирование расходов на проведение мероприятий, направленных на обеспечение безопасного участия детей в дорожном движении</t>
  </si>
  <si>
    <t>01200S3980</t>
  </si>
  <si>
    <t>2.1.8</t>
  </si>
  <si>
    <t>расходы на внедрение целевой модели образовательной среды (краевой бюджет)</t>
  </si>
  <si>
    <t>012E452100</t>
  </si>
  <si>
    <t>240</t>
  </si>
  <si>
    <t>012E452100 СОФ</t>
  </si>
  <si>
    <t>2.1.9</t>
  </si>
  <si>
    <t>расходы на внедрение целевой модели образовательной среды (местный бюджет)</t>
  </si>
  <si>
    <t>2.1.10</t>
  </si>
  <si>
    <t>расходы на создание (обовление) МБТ для реализации основных и дополнитедльных прогграмм цифрового и гуманитарного профилей (краевой бюджет)</t>
  </si>
  <si>
    <t xml:space="preserve">    0120015980</t>
  </si>
  <si>
    <t>2.1.11</t>
  </si>
  <si>
    <t>расходы на создание (обовление) МБТ для реализации основных и дополнитедльных прогграмм цифрового и гуманитарного профилей (местный бюджет)</t>
  </si>
  <si>
    <t xml:space="preserve">    0120S15980 СОФ</t>
  </si>
  <si>
    <t>612,622</t>
  </si>
  <si>
    <t>012Е151690</t>
  </si>
  <si>
    <t>012Е151690 СОФ</t>
  </si>
  <si>
    <t>2.1.12</t>
  </si>
  <si>
    <t>2.1.13</t>
  </si>
  <si>
    <t>Расходы на  устройство плоскостных спортивных сооружений (МБОУ СОШ № 9 -2020 год),  2021 год- (МБОУ СОШ № 2,5)</t>
  </si>
  <si>
    <t>0120074200</t>
  </si>
  <si>
    <t>Софинансирование расходов на  устройство плоскостных спортивных сооружений (МБОУ СОШ № 9), 2021 год (МБОУ СОШ № 2,5)</t>
  </si>
  <si>
    <t>01200S4200</t>
  </si>
  <si>
    <t>2.1.14</t>
  </si>
  <si>
    <t>Расходы, направленные на развитие и повышение качества работы муниципальных учреждений, предоставление новых муниципальных услуг, повышение их качества(замена оконных заполнений в обеденном зале МБОУ СОШ № 5) краевой бюджет</t>
  </si>
  <si>
    <t>2.1.15</t>
  </si>
  <si>
    <t>Софинансирование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(замена оконных заполнений в обеденном зале МБОУ СОШ № 5) местный бюджет</t>
  </si>
  <si>
    <t>2.1.17</t>
  </si>
  <si>
    <t xml:space="preserve">Расходы муниципальных учреждений за содействие развитию налогового потенциала </t>
  </si>
  <si>
    <t>0120077450</t>
  </si>
  <si>
    <t>Задача № 2. Создать условия для получения детьми качественного образования в общеобразовательных учреждениях, обеспечить мониторинг качества.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</si>
  <si>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</si>
  <si>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>ежегодно более 3000  человек получат услуги общего образования</t>
  </si>
  <si>
    <t>012008061Т</t>
  </si>
  <si>
    <t>012008061Z</t>
  </si>
  <si>
    <t>0120080710</t>
  </si>
  <si>
    <t>0128072</t>
  </si>
  <si>
    <t>0128081</t>
  </si>
  <si>
    <t>01200S031P</t>
  </si>
  <si>
    <t>01200S031M</t>
  </si>
  <si>
    <t>0128082</t>
  </si>
  <si>
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</si>
  <si>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0120053030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</si>
  <si>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(краевой бюджет)</t>
  </si>
  <si>
    <t>0120075640</t>
  </si>
  <si>
    <t>110,               300</t>
  </si>
  <si>
    <t>0703</t>
  </si>
  <si>
    <t>0121022</t>
  </si>
  <si>
    <t>0120074090</t>
  </si>
  <si>
    <t>012001047А, 012001038А, 0120010490</t>
  </si>
  <si>
    <t>012001047Б, 012001038А, 0120010490</t>
  </si>
  <si>
    <t>0120010230</t>
  </si>
  <si>
    <t>0120010350</t>
  </si>
  <si>
    <t>012001047К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</si>
  <si>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(внебюджет)</t>
  </si>
  <si>
    <r>
      <t xml:space="preserve">Реализация приоритетного национального проекта «Образование»  в части выплаты вознаграждения за классное руководство в муниципальных общеобразовательных учреждениях, </t>
    </r>
    <r>
      <rPr>
        <sz val="12"/>
        <color indexed="60"/>
        <rFont val="Times New Roman"/>
        <family val="1"/>
        <charset val="204"/>
      </rPr>
      <t>икключить</t>
    </r>
  </si>
  <si>
    <r>
      <rPr>
        <sz val="12"/>
        <color indexed="10"/>
        <rFont val="Times New Roman"/>
        <family val="1"/>
        <charset val="204"/>
      </rPr>
      <t>Разве классным руководителям не платят из краевого бюджета???</t>
    </r>
    <r>
      <rPr>
        <sz val="12"/>
        <rFont val="Times New Roman"/>
        <family val="1"/>
        <charset val="204"/>
      </rPr>
      <t xml:space="preserve"> 120 человек ежегодно будут получать ежемесячное вознаграждение за счет средств краевого бюджета</t>
    </r>
  </si>
  <si>
    <t>Обеспечение функционирования и  развития учреждения, обеспечивающего  организацию повышения квалификации кадров, мониторинга качества образования, организацию проведения государственной итоговой аттестации (МКУ ГИМЦ)</t>
  </si>
  <si>
    <t>0709</t>
  </si>
  <si>
    <r>
      <rPr>
        <sz val="12"/>
        <color indexed="10"/>
        <rFont val="Times New Roman"/>
        <family val="1"/>
        <charset val="204"/>
      </rPr>
      <t>Финансирование ГИМЦ прописано в 4й программе, думаю, здесь надо исключить эту позицию</t>
    </r>
    <r>
      <rPr>
        <sz val="12"/>
        <rFont val="Times New Roman"/>
        <family val="1"/>
        <charset val="204"/>
      </rPr>
      <t>.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  </r>
  </si>
  <si>
    <t>Организация муниципальных профессиональных конкурсов  (премии призерам и победителям)</t>
  </si>
  <si>
    <t>Из сметы ГИМЦ (360 вид расхода)</t>
  </si>
  <si>
    <t>Распространение современных организационно-правовых моделей, обеспечивающих успешную социализацию детей с ограниченными возможностями здоровья и детей-инвалидов</t>
  </si>
  <si>
    <t>Ожидаются федеральные средства</t>
  </si>
  <si>
    <t>Софинансирование ФЦПРО</t>
  </si>
  <si>
    <t>ФМО 5210212</t>
  </si>
  <si>
    <t>строки необходимо оставить, т.к. на эти мероприятия были заявки на получение средств</t>
  </si>
  <si>
    <r>
      <t xml:space="preserve">Организация и проведение учебно-полевых сборов для учащихся (мальчиков) 10-х классов школ города Дивногорска </t>
    </r>
    <r>
      <rPr>
        <sz val="12"/>
        <color indexed="10"/>
        <rFont val="Times New Roman"/>
        <family val="1"/>
        <charset val="204"/>
      </rPr>
      <t xml:space="preserve"> (ТАНЯ! НАДО ПЕРЕНЕСТИ ДЕНЬГИ по 2014 и 2015 годам в раздел по реализации общеобраз. Программ. А пункт этот вообще убрать</t>
    </r>
  </si>
  <si>
    <t>Отдел образования администрации города Дивногорска (МКУ О(С)ОШ №1)</t>
  </si>
  <si>
    <t>0128061</t>
  </si>
  <si>
    <t>деньги перенесла в 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</si>
  <si>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 xml:space="preserve">Оборудование военно-спортивной полосы препятствий </t>
  </si>
  <si>
    <r>
      <rPr>
        <sz val="12"/>
        <color indexed="10"/>
        <rFont val="Times New Roman"/>
        <family val="1"/>
        <charset val="204"/>
      </rPr>
      <t>ДУМАЮ, ЭТО УЖЕ СДЕЛАНО и НАДО ИСКЛЮЧИТЬ?</t>
    </r>
    <r>
      <rPr>
        <sz val="12"/>
        <rFont val="Times New Roman"/>
        <family val="1"/>
        <charset val="204"/>
      </rPr>
      <t xml:space="preserve"> 87 учащихся 7 школ города изучают курс НВП и ОБЖ, 350 учащихся проходят подготовку к проведению спортивных соревнований</t>
    </r>
  </si>
  <si>
    <t>Итого по задаче 2</t>
  </si>
  <si>
    <t>Задача № 3. Создать условия для получения детьми качественного дополнительного образования, выявления и поддержки  одаренных детей</t>
  </si>
  <si>
    <t>3.3.1</t>
  </si>
  <si>
    <t>Обеспечение развития и стабильного функционирования муниципальных учреждений дополнительного образования детей(местный бюджет)</t>
  </si>
  <si>
    <t>0120080620</t>
  </si>
  <si>
    <t>В учреждениях дополнительного образования  дополнительным образованием охвачено до 93% от общего количества детей возраста от 7 до 18 лет</t>
  </si>
  <si>
    <t>012008062Т</t>
  </si>
  <si>
    <t>012008062Z</t>
  </si>
  <si>
    <t>01200S031М</t>
  </si>
  <si>
    <t>0120010420</t>
  </si>
  <si>
    <t>0120010480</t>
  </si>
  <si>
    <t>012001036U</t>
  </si>
  <si>
    <t>01200R0271</t>
  </si>
  <si>
    <t>01200S0271</t>
  </si>
  <si>
    <t>0120010370</t>
  </si>
  <si>
    <t>Обеспечение развития и стабильного функционирования муниципальных учреждений дополнительного образования детей (внебюджет)</t>
  </si>
  <si>
    <t>3.3.2</t>
  </si>
  <si>
    <t xml:space="preserve">Проведение мероприятий интеллектуальной направленности </t>
  </si>
  <si>
    <t>Отдел образования администрации города Дивногорска МКУ ГИМЦ</t>
  </si>
  <si>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Проведено 3 мероприятия с общей численностью участников не менее 500 человек. Ежегодно не менее 40 учащихся общеобразовательных   учреждений подготовлены к региональному этапу всероссийской олимпиады школьников, не менее 20 школьников образовательных учреждений приняли участие во всероссийских научно-практических конференциях и других мероприятиях интеллектуальной направленности регионального и ферального уровней</t>
    </r>
  </si>
  <si>
    <t>3.3.3</t>
  </si>
  <si>
    <t xml:space="preserve">Проведение мероприятий творческой направленности </t>
  </si>
  <si>
    <t>0128811</t>
  </si>
  <si>
    <t xml:space="preserve">Проведено 5 мероприятий с общей численностью  участников свыше 1000 человек. </t>
  </si>
  <si>
    <t>3.3.4</t>
  </si>
  <si>
    <t xml:space="preserve">Индивидуальное сопровождение победителей и призеров муниципального этапа всероссийской олимпиады школьников; обеспечение участия учащихся и сопровождающих их лиц в  круглогодичных школах, летних профильных сменах, пленэрах, тренингах  и конкурсах для интеллектуально одаренных детей и детей одарённых  в области культуры и искусства, организованных на территории Красноярского края и за его пределами </t>
  </si>
  <si>
    <r>
      <rPr>
        <sz val="12"/>
        <color indexed="10"/>
        <rFont val="Times New Roman"/>
        <family val="1"/>
        <charset val="204"/>
      </rPr>
      <t>ПОСОВЕТОВАТЬСЯ С ПОЛЕЖАЕВОЙ, о необходимости этих позиций???</t>
    </r>
    <r>
      <rPr>
        <sz val="12"/>
        <color indexed="8"/>
        <rFont val="Times New Roman"/>
        <family val="1"/>
        <charset val="204"/>
      </rPr>
      <t xml:space="preserve"> Обеспечена подготовка и сопровождение 80 учащихся на различные выездные олимпиады и конкурсы</t>
    </r>
  </si>
  <si>
    <t>Отдел физической культуры, спорта и молодежной политики администрации города Дивногорска</t>
  </si>
  <si>
    <t>Отдел культуры и искусства администрации города Дивногорска</t>
  </si>
  <si>
    <t>0804</t>
  </si>
  <si>
    <t xml:space="preserve">Организация и проведение церемонии награждения денежными премиями учащихся, показавших высокие результаты  в учебе, олимпиадах, конференциях, творческих конкурсах, спортивных соревнованиях, и их педагогов </t>
  </si>
  <si>
    <t>МКУ ГИМЦ</t>
  </si>
  <si>
    <t>350</t>
  </si>
  <si>
    <t xml:space="preserve">Ежегодно не менее 45 одаренных и талантливых детей получают премию в размере от 1500 до 6000 рублей </t>
  </si>
  <si>
    <t>3.3.5</t>
  </si>
  <si>
    <t xml:space="preserve">Участие в краевом конкурсе муниципальных программ по работе с одаренными детьми </t>
  </si>
  <si>
    <t>0128898</t>
  </si>
  <si>
    <t>3.3.6</t>
  </si>
  <si>
    <t>Обеспечение функционирования системы персонифицированного финансирования дополнительного образования детей</t>
  </si>
  <si>
    <t>Отдел образования администрации города Дивногорска (МБОУ ДО "ДДТ")</t>
  </si>
  <si>
    <t>012008065Е</t>
  </si>
  <si>
    <t>Отдел культуры администрации города Дивногорска (МБУ ДО "ДХШ", МБУ ДО "ДШИ")</t>
  </si>
  <si>
    <t>956</t>
  </si>
  <si>
    <t>012008065А</t>
  </si>
  <si>
    <t>Итого по задаче 3</t>
  </si>
  <si>
    <t xml:space="preserve">Всего по подпрограмме в т.ч.: </t>
  </si>
  <si>
    <t>федеральный бюджет</t>
  </si>
  <si>
    <t xml:space="preserve">Начальник отдела образования администрации города Дивногорска </t>
  </si>
  <si>
    <t>Приложение 1
к паспорту подпрограммы 3 «Обеспечение безопасного качественного отдыха и оздоровления детей в период каникул"</t>
  </si>
  <si>
    <t>Цель: обеспечить безопасный и качественный отдых и оздоровление детей в период каникул.</t>
  </si>
  <si>
    <t>Задача №1. Создать условия для безопасного и качественного отдыха детей в летний период</t>
  </si>
  <si>
    <t>3.1.1.</t>
  </si>
  <si>
    <r>
      <t>Доля оздоровленных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детей школьного возраста </t>
    </r>
  </si>
  <si>
    <t xml:space="preserve">Задача № 2. 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</si>
  <si>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3.2.1.</t>
  </si>
  <si>
    <t xml:space="preserve">Доля детей школьного возраста, вовлеченных в городские массовые мероприятия от общего числа детей школьного возраста </t>
  </si>
  <si>
    <t>3.2.2.</t>
  </si>
  <si>
    <t>Приложение № 2
к Паспорту  подпрограммы 3 «Обеспечение безопасного качественного отдыха и оздоровления детей в период каникул»</t>
  </si>
  <si>
    <t>Цель: создание равных возможностей и условий для современного качественного образования, позитивной социализации и оздоровления детей в период каникул.</t>
  </si>
  <si>
    <t>0220466</t>
  </si>
  <si>
    <t xml:space="preserve">Задача № 1. Обеспечить безопасный, комфортный и качественный отдых в летний период. </t>
  </si>
  <si>
    <t>1.1.</t>
  </si>
  <si>
    <t>Содержание летних оздоровительных лагерей с дневным пребыванием детей ( приобретение канц. товаров, приобретение игрового и спортивного инвентаря, приобретение медицинских аптечек и витаминных препаратов, приобретение дезинфицирующих средств)</t>
  </si>
  <si>
    <t>0138811</t>
  </si>
  <si>
    <t>ВНЕСЛА ДЕНЬГИ ИЗ СМЕТЫ по МЦП</t>
  </si>
  <si>
    <t>Ежегодное функционирование 6 летних оздоровительных лагерей с дневным пребыванием детей, соответствующих требованиям надзорных органов, для 868 детей</t>
  </si>
  <si>
    <r>
      <t>0138811; 013008397Г,</t>
    </r>
    <r>
      <rPr>
        <b/>
        <sz val="12"/>
        <rFont val="Times New Roman"/>
        <family val="1"/>
        <charset val="204"/>
      </rPr>
      <t xml:space="preserve">  01300S397Я, 01300S649J</t>
    </r>
  </si>
  <si>
    <t xml:space="preserve">Организация подготовки и содержание нестационарного (стационарного) палаточного лагеря </t>
  </si>
  <si>
    <t xml:space="preserve">Ежегодное функционирование 1 палаточного лагеря,  соответствующего требованиям надзорных органов, и обеспечение питанием не менее 60 детей; </t>
  </si>
  <si>
    <t>Проведение мероприятий, конкурсных программ, праздников, соревнований</t>
  </si>
  <si>
    <t xml:space="preserve">Ежегодное проведение мероприятий, конкурсных программ, праздников, соревнований для  6 летних оздоровительных лагерей с дневным пребыванием детей </t>
  </si>
  <si>
    <t>Субсидия на оплату стоимости набора продуктов питания или готовых блюд и их транспортировки в лагерях с дневным пребыванием детей, в рамках Государственной программы Красноярского края "Развитие образования" (кр.б.)</t>
  </si>
  <si>
    <t>0137582; 0130073970, 01300S649Д, 0130076490</t>
  </si>
  <si>
    <t>612;240;320</t>
  </si>
  <si>
    <t>Предоставлены средства для оплаты стоимости продуктов питания или готовых блюд и их транспортировки для 868 детей в летних оздоровительных лагерях с дневным пребыванием детей</t>
  </si>
  <si>
    <t>0137582; 0130073970</t>
  </si>
  <si>
    <t>Оплата стоимости набора продуктов питания или готовых блюд и их транспортировки (целевой родительский взнос)</t>
  </si>
  <si>
    <r>
      <t>01300S397Г,</t>
    </r>
    <r>
      <rPr>
        <b/>
        <sz val="12"/>
        <rFont val="Times New Roman"/>
        <family val="1"/>
        <charset val="204"/>
      </rPr>
      <t xml:space="preserve"> 01300S649G</t>
    </r>
  </si>
  <si>
    <t>612; 240,622</t>
  </si>
  <si>
    <r>
      <t>01300S397Г,</t>
    </r>
    <r>
      <rPr>
        <b/>
        <sz val="12"/>
        <rFont val="Times New Roman"/>
        <family val="1"/>
        <charset val="204"/>
      </rPr>
      <t xml:space="preserve"> 01300S397Ю, 01300S649J, 01300S649U</t>
    </r>
  </si>
  <si>
    <t>612,622, 240</t>
  </si>
  <si>
    <t>Оплата стоимости набора продуктов питания или готовых блюд и их транспортировки, приобретение товарно-материальных ценностей (внебюджет)</t>
  </si>
  <si>
    <t>Расходы на выплату персоналу средств на оплату компенсации затрат на обеспечение деятельности специалистов, реализующих переданные государственные полномочия</t>
  </si>
  <si>
    <t>0130076490</t>
  </si>
  <si>
    <t>110</t>
  </si>
  <si>
    <t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за счет средств краевого бюджета</t>
  </si>
  <si>
    <t>0137583;  013007397Д, 0130073970, 0130076490</t>
  </si>
  <si>
    <t>320,240</t>
  </si>
  <si>
    <t xml:space="preserve">Предоставлены средства для оплаты стоимости путёвок для детей в краевых государственных и негосударственных организациях отдыха, оздоровления и занятости детей, зарегистрированные на территории края, муниципальные загородные оздоровительные лагеря для </t>
  </si>
  <si>
    <t>1.6</t>
  </si>
  <si>
    <t>Софинансирование расходов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за счет целевого родительского взноса</t>
  </si>
  <si>
    <t>0130088790 01300S397Д, 01300S649D</t>
  </si>
  <si>
    <t>Оздоровлены в загородных лагерях не менее 259 детей</t>
  </si>
  <si>
    <t>1,9</t>
  </si>
  <si>
    <r>
      <t xml:space="preserve"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</t>
    </r>
    <r>
      <rPr>
        <sz val="12"/>
        <color indexed="10"/>
        <rFont val="Times New Roman"/>
        <family val="1"/>
        <charset val="204"/>
      </rPr>
      <t>(ЭТО НЕ ОДНО И ТО ЖЕ, что и п. 1.8???)</t>
    </r>
  </si>
  <si>
    <t xml:space="preserve">Проведение мероприятий гражданско-патриотической направленности </t>
  </si>
  <si>
    <t xml:space="preserve">Проведено 4 мероприятия с общей численностью участников не менее 500 человек. </t>
  </si>
  <si>
    <t xml:space="preserve">Проведение мероприятий спортивно-оздоровительной направленности </t>
  </si>
  <si>
    <t xml:space="preserve">Проведен туристический слет с общей численностью участников не менее 150 человек. </t>
  </si>
  <si>
    <t xml:space="preserve">Проведение мероприятий по организации отдыха детей </t>
  </si>
  <si>
    <t>0130088780</t>
  </si>
  <si>
    <t>01300888780</t>
  </si>
  <si>
    <t>Приложение № 1 
к Паспорту  подпрограммы 4 «Обеспечение реализации муниципальной программы и прочие мероприятия в области образования»</t>
  </si>
  <si>
    <t>Цель: создание условий для эффективного управления отраслью</t>
  </si>
  <si>
    <t>Задача 1. Обеспечить деятельность отдела образования и учреждений, обеспечивающих деятельность образовательных учреждений, направленную на эффективное управление отраслью.</t>
  </si>
  <si>
    <t>4.1.1.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</si>
  <si>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 xml:space="preserve">(Отдел образования администрации города, МСКУ "МЦБ")
</t>
    </r>
    <r>
      <rPr>
        <sz val="12"/>
        <rFont val="Times New Roman"/>
        <family val="1"/>
        <charset val="204"/>
      </rPr>
      <t xml:space="preserve">
</t>
    </r>
  </si>
  <si>
    <t>финансовое управление администрации города Дивногорска</t>
  </si>
  <si>
    <t>Уровень исполнения расходов распорядителя за счет средств местного бюджета (без учета межбюджетных трансфертов) (Отдел образования администрации города, МСКУ "МЦБ")</t>
  </si>
  <si>
    <t>4.1.15.</t>
  </si>
  <si>
    <t>Задача 2 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</si>
  <si>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навоспитание в семьи посторонних граждан.</t>
  </si>
  <si>
    <t xml:space="preserve">чел. </t>
  </si>
  <si>
    <t>Приложение 2 
к паспорту подпрограммы 4 «Обеспечение реализации муниципальной программы и прочие мероприятия в области образования»</t>
  </si>
  <si>
    <t>Ожидаемый результат от реализации подпрограммного мероприятия (в натуральном выражении)</t>
  </si>
  <si>
    <t>Задача 1 Организация деятельности отдела образования,  учреждений, обеспечивающих деятельность образовательных учреждений, направленной на эффективное управление отраслью</t>
  </si>
  <si>
    <t>Руководство и управление в сфере установленных функций органов местного самоуправления</t>
  </si>
  <si>
    <t>0140080210</t>
  </si>
  <si>
    <t xml:space="preserve">Повышение эффективности управления муниципальными финансами и использования муниципального имущества в части вопросов реализации программы, совершенствование системы оплаты труда и мер социальной защиты и поддержки, повышение качества межведомственного взаимодействия </t>
  </si>
  <si>
    <t>244, 850</t>
  </si>
  <si>
    <t>0140080910</t>
  </si>
  <si>
    <t>0140010350</t>
  </si>
  <si>
    <t>014001036W</t>
  </si>
  <si>
    <t>014001035W</t>
  </si>
  <si>
    <t>014001036Z</t>
  </si>
  <si>
    <t>0140080030</t>
  </si>
  <si>
    <t>0140010390</t>
  </si>
  <si>
    <t>0140010400</t>
  </si>
  <si>
    <t>014001047В, 014001038V</t>
  </si>
  <si>
    <t>014001047О, 014001038А</t>
  </si>
  <si>
    <t>4.1.2</t>
  </si>
  <si>
    <t xml:space="preserve">Мероприятия по развитию и поддержке информационных баз данных системы образования </t>
  </si>
  <si>
    <t xml:space="preserve">отдел образования администрации города Дивногорска (МКУ ГИМЦ)- </t>
  </si>
  <si>
    <t>0140080220</t>
  </si>
  <si>
    <t>Функционируют  БД системы дошкольного, общего и дополнительного образовния, БД детей-сирот, сайт системы образования города</t>
  </si>
  <si>
    <t>4.1.3</t>
  </si>
  <si>
    <t xml:space="preserve">Обеспечение деятельности (оказание услуг) подведомственных учреждений </t>
  </si>
  <si>
    <t xml:space="preserve">МСКУ "МЦБ"               </t>
  </si>
  <si>
    <t>014001047К</t>
  </si>
  <si>
    <t>Обеспечено бухгалтерское обслуживание 34 учреждений;</t>
  </si>
  <si>
    <t>0140080710</t>
  </si>
  <si>
    <t>0140010230, 0140010490</t>
  </si>
  <si>
    <t>014001036U</t>
  </si>
  <si>
    <t>014001038А</t>
  </si>
  <si>
    <t>4.1.4</t>
  </si>
  <si>
    <t>Обеспечение деятельности (оказание услуг) подведомственных учреждений (ГИМЦ)</t>
  </si>
  <si>
    <r>
      <t xml:space="preserve">МКУ ГИМЦ </t>
    </r>
    <r>
      <rPr>
        <sz val="12"/>
        <color indexed="10"/>
        <rFont val="Times New Roman"/>
        <family val="1"/>
        <charset val="204"/>
      </rPr>
      <t/>
    </r>
  </si>
  <si>
    <t>Обеспечено услугами по юридическому и методическому сопровождению 21 образовательное учреждение.  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</si>
  <si>
    <t>0148081</t>
  </si>
  <si>
    <t>0140010450</t>
  </si>
  <si>
    <t>4.1.5</t>
  </si>
  <si>
    <t>Обеспечение деятельности (оказание услуг) подведомственных учреждений (ЦТО)</t>
  </si>
  <si>
    <t>МКУ ЦТО</t>
  </si>
  <si>
    <t>0140010370</t>
  </si>
  <si>
    <t>4.2.1</t>
  </si>
  <si>
    <t>Обеспечение деятельности специалистов по опеке и попечительству в отношении несовершеннолетних</t>
  </si>
  <si>
    <t>отдел образования администрации города Дивногорска (опека и попечительство)</t>
  </si>
  <si>
    <t>0140075520</t>
  </si>
  <si>
    <t>Обеспечить деятельность 3 специалистов по вопросам опеки и попечительства по исполнению государственных полномочий по организации и осуществлению деятельности по опеке и попечительству.</t>
  </si>
  <si>
    <t>4.2.2</t>
  </si>
  <si>
    <t>Приобретение жилых помещений для их предоставления по договору найма детям-сиротам, детям, оставшимся без попечения родителей, и лицам из их числа</t>
  </si>
  <si>
    <t>администрация города Дивногорска (опека и попечительство)</t>
  </si>
  <si>
    <t>0140050820</t>
  </si>
  <si>
    <t>410</t>
  </si>
  <si>
    <t>Приобретены жилые помещения для 25 детей-сирот и детей, оставшихся без попечения родителей</t>
  </si>
  <si>
    <t>0140075870</t>
  </si>
  <si>
    <t>01400R0820, 0140075870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</si>
</sst>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* #,##0.0_р_._-;\-* #,##0.0_р_._-;_-* &quot;-&quot;?_р_._-;_-@_-"/>
    <numFmt numFmtId="165" formatCode="_-* #,##0.0\ _₽_-;\-* #,##0.0\ _₽_-;_-* &quot;-&quot;?\ _₽_-;_-@_-"/>
    <numFmt numFmtId="166" formatCode="_-* #,##0.00_р_._-;\-* #,##0.00_р_._-;_-* &quot;-&quot;??_р_._-;_-@_-"/>
    <numFmt numFmtId="167" formatCode="#,##0.0"/>
    <numFmt numFmtId="168" formatCode="0.0"/>
    <numFmt numFmtId="169" formatCode="0.00000000"/>
    <numFmt numFmtId="170" formatCode="0.00000000000"/>
    <numFmt numFmtId="171" formatCode="#,##0.0_ ;\-#,##0.0\ "/>
    <numFmt numFmtId="172" formatCode="0.0000000000"/>
    <numFmt numFmtId="173" formatCode="_-* #,##0.00_р_._-;\-* #,##0.00_р_._-;_-* &quot;-&quot;?_р_._-;_-@_-"/>
    <numFmt numFmtId="174" formatCode="_-* #,##0.0\ _р_._-;\-* #,##0.0\ _р_._-;_-* &quot;-&quot;?\ _р_._-;_-@_-"/>
  </numFmts>
  <fonts count="33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Calibri"/>
      <family val="2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b/>
      <sz val="12"/>
      <color rgb="FF0033CC"/>
      <name val="Times New Roman"/>
      <family val="1"/>
      <charset val="204"/>
    </font>
    <font>
      <i/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2"/>
      <color indexed="9"/>
      <name val="Times New Roman"/>
      <family val="1"/>
      <charset val="204"/>
    </font>
    <font>
      <i/>
      <sz val="12"/>
      <color rgb="FF7030A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" fillId="0" borderId="0"/>
  </cellStyleXfs>
  <cellXfs count="540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64" fontId="2" fillId="2" borderId="2" xfId="0" applyNumberFormat="1" applyFont="1" applyFill="1" applyBorder="1"/>
    <xf numFmtId="164" fontId="2" fillId="0" borderId="2" xfId="0" applyNumberFormat="1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/>
    <xf numFmtId="164" fontId="2" fillId="2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/>
    <xf numFmtId="49" fontId="2" fillId="0" borderId="2" xfId="0" applyNumberFormat="1" applyFont="1" applyFill="1" applyBorder="1"/>
    <xf numFmtId="0" fontId="2" fillId="2" borderId="2" xfId="0" applyFont="1" applyFill="1" applyBorder="1"/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" fontId="2" fillId="2" borderId="0" xfId="0" applyNumberFormat="1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164" fontId="2" fillId="0" borderId="0" xfId="0" applyNumberFormat="1" applyFont="1"/>
    <xf numFmtId="164" fontId="2" fillId="0" borderId="0" xfId="0" applyNumberFormat="1" applyFont="1" applyFill="1"/>
    <xf numFmtId="0" fontId="2" fillId="0" borderId="0" xfId="0" applyFont="1" applyFill="1"/>
    <xf numFmtId="165" fontId="2" fillId="0" borderId="0" xfId="0" applyNumberFormat="1" applyFont="1" applyFill="1"/>
    <xf numFmtId="165" fontId="2" fillId="0" borderId="0" xfId="0" applyNumberFormat="1" applyFont="1"/>
    <xf numFmtId="0" fontId="5" fillId="0" borderId="0" xfId="0" applyFont="1" applyFill="1"/>
    <xf numFmtId="0" fontId="5" fillId="2" borderId="0" xfId="0" applyFont="1" applyFill="1"/>
    <xf numFmtId="0" fontId="6" fillId="0" borderId="0" xfId="0" applyFont="1" applyFill="1" applyAlignment="1">
      <alignment horizontal="right" vertical="top" wrapText="1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top" wrapText="1"/>
    </xf>
    <xf numFmtId="167" fontId="2" fillId="2" borderId="2" xfId="1" applyNumberFormat="1" applyFont="1" applyFill="1" applyBorder="1" applyAlignment="1">
      <alignment horizontal="right" vertical="center" wrapText="1"/>
    </xf>
    <xf numFmtId="167" fontId="2" fillId="0" borderId="2" xfId="1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top" wrapText="1" indent="1"/>
    </xf>
    <xf numFmtId="167" fontId="6" fillId="2" borderId="2" xfId="0" applyNumberFormat="1" applyFont="1" applyFill="1" applyBorder="1" applyAlignment="1">
      <alignment horizontal="right" vertical="center" wrapText="1"/>
    </xf>
    <xf numFmtId="167" fontId="2" fillId="2" borderId="2" xfId="0" applyNumberFormat="1" applyFont="1" applyFill="1" applyBorder="1" applyAlignment="1">
      <alignment horizontal="right" vertical="center"/>
    </xf>
    <xf numFmtId="167" fontId="2" fillId="0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top" wrapText="1" indent="2"/>
    </xf>
    <xf numFmtId="0" fontId="2" fillId="0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 wrapText="1"/>
    </xf>
    <xf numFmtId="0" fontId="2" fillId="0" borderId="0" xfId="0" applyFont="1" applyFill="1" applyAlignment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2" fillId="2" borderId="0" xfId="0" applyFont="1" applyFill="1"/>
    <xf numFmtId="0" fontId="2" fillId="2" borderId="9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2" fillId="0" borderId="4" xfId="0" applyFont="1" applyFill="1" applyBorder="1"/>
    <xf numFmtId="0" fontId="2" fillId="0" borderId="5" xfId="0" applyFont="1" applyFill="1" applyBorder="1"/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168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168" fontId="2" fillId="0" borderId="0" xfId="0" applyNumberFormat="1" applyFont="1" applyFill="1"/>
    <xf numFmtId="169" fontId="2" fillId="0" borderId="0" xfId="0" applyNumberFormat="1" applyFont="1" applyFill="1"/>
    <xf numFmtId="0" fontId="2" fillId="4" borderId="0" xfId="0" applyFont="1" applyFill="1"/>
    <xf numFmtId="168" fontId="2" fillId="0" borderId="4" xfId="0" applyNumberFormat="1" applyFont="1" applyFill="1" applyBorder="1"/>
    <xf numFmtId="2" fontId="2" fillId="0" borderId="0" xfId="0" applyNumberFormat="1" applyFont="1" applyFill="1"/>
    <xf numFmtId="170" fontId="2" fillId="0" borderId="0" xfId="0" applyNumberFormat="1" applyFont="1" applyFill="1"/>
    <xf numFmtId="168" fontId="2" fillId="0" borderId="5" xfId="0" applyNumberFormat="1" applyFont="1" applyFill="1" applyBorder="1"/>
    <xf numFmtId="168" fontId="2" fillId="0" borderId="0" xfId="0" applyNumberFormat="1" applyFont="1" applyFill="1" applyAlignment="1">
      <alignment horizontal="right"/>
    </xf>
    <xf numFmtId="0" fontId="2" fillId="0" borderId="2" xfId="0" applyFont="1" applyFill="1" applyBorder="1" applyAlignment="1">
      <alignment vertical="center"/>
    </xf>
    <xf numFmtId="168" fontId="2" fillId="0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0" borderId="0" xfId="0" applyFont="1" applyFill="1" applyAlignment="1">
      <alignment horizontal="right"/>
    </xf>
    <xf numFmtId="49" fontId="2" fillId="0" borderId="0" xfId="2" applyNumberFormat="1" applyFont="1" applyFill="1" applyAlignment="1">
      <alignment horizontal="center" vertical="center"/>
    </xf>
    <xf numFmtId="0" fontId="2" fillId="0" borderId="0" xfId="2" applyFont="1" applyFill="1" applyAlignment="1">
      <alignment wrapText="1"/>
    </xf>
    <xf numFmtId="0" fontId="2" fillId="0" borderId="0" xfId="2" applyFont="1" applyFill="1" applyAlignment="1">
      <alignment horizontal="center" vertical="center" wrapText="1"/>
    </xf>
    <xf numFmtId="0" fontId="7" fillId="0" borderId="0" xfId="2" applyFont="1" applyFill="1" applyAlignment="1">
      <alignment horizontal="right" vertical="top" wrapText="1"/>
    </xf>
    <xf numFmtId="0" fontId="4" fillId="0" borderId="0" xfId="2" applyFont="1" applyFill="1" applyBorder="1" applyAlignment="1">
      <alignment horizontal="center" vertical="center" wrapText="1"/>
    </xf>
    <xf numFmtId="0" fontId="8" fillId="0" borderId="0" xfId="0" applyFont="1" applyFill="1"/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left" vertical="center" wrapText="1" inden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center" wrapText="1"/>
    </xf>
    <xf numFmtId="2" fontId="2" fillId="2" borderId="2" xfId="2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vertical="center"/>
    </xf>
    <xf numFmtId="2" fontId="2" fillId="0" borderId="2" xfId="0" applyNumberFormat="1" applyFont="1" applyFill="1" applyBorder="1" applyAlignment="1">
      <alignment vertical="center"/>
    </xf>
    <xf numFmtId="0" fontId="2" fillId="0" borderId="2" xfId="2" applyFont="1" applyFill="1" applyBorder="1" applyAlignment="1">
      <alignment horizontal="left" vertical="center" wrapText="1" indent="1"/>
    </xf>
    <xf numFmtId="0" fontId="2" fillId="2" borderId="2" xfId="2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/>
    <xf numFmtId="2" fontId="2" fillId="0" borderId="5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168" fontId="2" fillId="2" borderId="2" xfId="0" applyNumberFormat="1" applyFont="1" applyFill="1" applyBorder="1" applyAlignment="1">
      <alignment horizontal="center" vertical="center"/>
    </xf>
    <xf numFmtId="168" fontId="2" fillId="0" borderId="3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168" fontId="2" fillId="0" borderId="3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2" xfId="2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2" fillId="2" borderId="2" xfId="2" applyNumberFormat="1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2" fontId="2" fillId="0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2" xfId="2" applyNumberFormat="1" applyFont="1" applyFill="1" applyBorder="1" applyAlignment="1">
      <alignment horizontal="center" vertical="center" wrapText="1"/>
    </xf>
    <xf numFmtId="0" fontId="2" fillId="0" borderId="3" xfId="2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/>
    </xf>
    <xf numFmtId="0" fontId="2" fillId="0" borderId="2" xfId="2" applyFont="1" applyFill="1" applyBorder="1" applyAlignment="1">
      <alignment horizontal="left" vertical="top" wrapText="1" indent="1"/>
    </xf>
    <xf numFmtId="3" fontId="2" fillId="0" borderId="2" xfId="2" applyNumberFormat="1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/>
    </xf>
    <xf numFmtId="0" fontId="2" fillId="4" borderId="2" xfId="2" applyFont="1" applyFill="1" applyBorder="1" applyAlignment="1">
      <alignment horizontal="left" vertical="top" wrapText="1" indent="1"/>
    </xf>
    <xf numFmtId="0" fontId="2" fillId="4" borderId="2" xfId="2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2" xfId="2" applyFont="1" applyFill="1" applyBorder="1" applyAlignment="1">
      <alignment horizontal="center" vertical="top" wrapText="1"/>
    </xf>
    <xf numFmtId="0" fontId="2" fillId="4" borderId="2" xfId="2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1" fontId="2" fillId="5" borderId="2" xfId="2" applyNumberFormat="1" applyFont="1" applyFill="1" applyBorder="1" applyAlignment="1">
      <alignment horizontal="center" vertical="center" wrapText="1"/>
    </xf>
    <xf numFmtId="1" fontId="2" fillId="5" borderId="3" xfId="0" applyNumberFormat="1" applyFont="1" applyFill="1" applyBorder="1" applyAlignment="1">
      <alignment vertical="center"/>
    </xf>
    <xf numFmtId="0" fontId="2" fillId="5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top" wrapText="1"/>
    </xf>
    <xf numFmtId="1" fontId="2" fillId="0" borderId="3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/>
    </xf>
    <xf numFmtId="0" fontId="2" fillId="0" borderId="2" xfId="2" applyFont="1" applyFill="1" applyBorder="1" applyAlignment="1">
      <alignment vertical="top" wrapText="1"/>
    </xf>
    <xf numFmtId="0" fontId="2" fillId="2" borderId="0" xfId="0" applyFont="1" applyFill="1" applyBorder="1"/>
    <xf numFmtId="0" fontId="2" fillId="2" borderId="2" xfId="0" applyFont="1" applyFill="1" applyBorder="1" applyAlignment="1">
      <alignment horizontal="left"/>
    </xf>
    <xf numFmtId="0" fontId="2" fillId="0" borderId="2" xfId="2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Border="1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center" vertical="center" wrapText="1"/>
    </xf>
    <xf numFmtId="167" fontId="2" fillId="0" borderId="2" xfId="2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Border="1" applyAlignment="1">
      <alignment horizontal="right" wrapText="1"/>
    </xf>
    <xf numFmtId="0" fontId="0" fillId="2" borderId="0" xfId="0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3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7" fillId="0" borderId="0" xfId="2" applyFont="1" applyFill="1" applyAlignment="1">
      <alignment horizontal="left" vertical="top" wrapText="1"/>
    </xf>
    <xf numFmtId="0" fontId="4" fillId="0" borderId="1" xfId="2" applyFont="1" applyFill="1" applyBorder="1" applyAlignment="1">
      <alignment horizontal="center" vertical="center" wrapText="1"/>
    </xf>
    <xf numFmtId="49" fontId="2" fillId="0" borderId="6" xfId="2" applyNumberFormat="1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49" fontId="2" fillId="0" borderId="7" xfId="2" applyNumberFormat="1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7" xfId="0" applyBorder="1"/>
    <xf numFmtId="49" fontId="2" fillId="0" borderId="8" xfId="2" applyNumberFormat="1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 wrapText="1"/>
    </xf>
    <xf numFmtId="0" fontId="0" fillId="0" borderId="8" xfId="0" applyFill="1" applyBorder="1"/>
    <xf numFmtId="0" fontId="0" fillId="0" borderId="8" xfId="0" applyBorder="1"/>
    <xf numFmtId="0" fontId="2" fillId="2" borderId="8" xfId="0" applyFont="1" applyFill="1" applyBorder="1" applyAlignment="1">
      <alignment horizontal="center" vertical="center" wrapText="1"/>
    </xf>
    <xf numFmtId="0" fontId="2" fillId="0" borderId="11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8" fontId="2" fillId="2" borderId="6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68" fontId="2" fillId="2" borderId="5" xfId="0" applyNumberFormat="1" applyFont="1" applyFill="1" applyBorder="1" applyAlignment="1">
      <alignment horizontal="center" vertical="center"/>
    </xf>
    <xf numFmtId="168" fontId="2" fillId="0" borderId="8" xfId="0" applyNumberFormat="1" applyFont="1" applyFill="1" applyBorder="1" applyAlignment="1">
      <alignment horizontal="center" vertical="center"/>
    </xf>
    <xf numFmtId="168" fontId="2" fillId="2" borderId="8" xfId="0" applyNumberFormat="1" applyFont="1" applyFill="1" applyBorder="1" applyAlignment="1">
      <alignment horizontal="center" vertical="center"/>
    </xf>
    <xf numFmtId="0" fontId="14" fillId="0" borderId="0" xfId="0" applyFont="1" applyFill="1"/>
    <xf numFmtId="49" fontId="2" fillId="0" borderId="0" xfId="2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 wrapText="1" indent="1"/>
    </xf>
    <xf numFmtId="0" fontId="2" fillId="0" borderId="0" xfId="2" applyNumberFormat="1" applyFont="1" applyFill="1" applyBorder="1" applyAlignment="1">
      <alignment horizontal="center" vertical="center" wrapText="1"/>
    </xf>
    <xf numFmtId="0" fontId="2" fillId="2" borderId="0" xfId="2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167" fontId="7" fillId="0" borderId="0" xfId="0" applyNumberFormat="1" applyFont="1" applyFill="1" applyBorder="1" applyAlignment="1">
      <alignment horizontal="left" vertical="top" wrapText="1"/>
    </xf>
    <xf numFmtId="0" fontId="15" fillId="0" borderId="0" xfId="2" applyFont="1" applyFill="1" applyAlignment="1">
      <alignment horizontal="left" vertical="top" wrapText="1"/>
    </xf>
    <xf numFmtId="0" fontId="7" fillId="0" borderId="0" xfId="2" applyFont="1" applyFill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left" vertical="top" wrapText="1"/>
    </xf>
    <xf numFmtId="0" fontId="2" fillId="0" borderId="7" xfId="0" applyNumberFormat="1" applyFont="1" applyFill="1" applyBorder="1" applyAlignment="1">
      <alignment horizontal="left" vertical="top" wrapText="1"/>
    </xf>
    <xf numFmtId="4" fontId="2" fillId="0" borderId="2" xfId="0" applyNumberFormat="1" applyFont="1" applyFill="1" applyBorder="1" applyAlignment="1">
      <alignment horizontal="right"/>
    </xf>
    <xf numFmtId="0" fontId="2" fillId="0" borderId="8" xfId="0" applyNumberFormat="1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6" xfId="0" applyNumberFormat="1" applyFont="1" applyFill="1" applyBorder="1" applyAlignment="1">
      <alignment vertical="center" wrapText="1"/>
    </xf>
    <xf numFmtId="0" fontId="2" fillId="0" borderId="8" xfId="0" applyNumberFormat="1" applyFont="1" applyFill="1" applyBorder="1" applyAlignment="1">
      <alignment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49" fontId="7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49" fontId="7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" fontId="17" fillId="0" borderId="2" xfId="0" applyNumberFormat="1" applyFont="1" applyFill="1" applyBorder="1" applyAlignment="1">
      <alignment horizontal="right"/>
    </xf>
    <xf numFmtId="0" fontId="0" fillId="0" borderId="8" xfId="0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top"/>
    </xf>
    <xf numFmtId="0" fontId="2" fillId="0" borderId="5" xfId="0" applyNumberFormat="1" applyFont="1" applyFill="1" applyBorder="1" applyAlignment="1">
      <alignment horizontal="left" vertical="top"/>
    </xf>
    <xf numFmtId="0" fontId="2" fillId="0" borderId="2" xfId="0" applyNumberFormat="1" applyFont="1" applyFill="1" applyBorder="1" applyAlignment="1">
      <alignment horizontal="center" vertical="top"/>
    </xf>
    <xf numFmtId="49" fontId="2" fillId="0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7" fillId="0" borderId="0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top" wrapText="1"/>
    </xf>
    <xf numFmtId="164" fontId="18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49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171" fontId="2" fillId="0" borderId="0" xfId="0" applyNumberFormat="1" applyFont="1" applyFill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center" wrapText="1"/>
    </xf>
    <xf numFmtId="0" fontId="14" fillId="2" borderId="0" xfId="0" applyFont="1" applyFill="1"/>
    <xf numFmtId="0" fontId="2" fillId="0" borderId="2" xfId="0" applyFont="1" applyBorder="1" applyAlignment="1">
      <alignment horizontal="justify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2" fontId="2" fillId="2" borderId="3" xfId="2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3" xfId="2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wrapText="1"/>
    </xf>
    <xf numFmtId="2" fontId="2" fillId="0" borderId="3" xfId="2" applyNumberFormat="1" applyFont="1" applyFill="1" applyBorder="1" applyAlignment="1">
      <alignment horizontal="center" vertical="center" wrapText="1"/>
    </xf>
    <xf numFmtId="49" fontId="20" fillId="0" borderId="0" xfId="0" applyNumberFormat="1" applyFont="1" applyFill="1" applyAlignment="1">
      <alignment vertical="center"/>
    </xf>
    <xf numFmtId="0" fontId="20" fillId="0" borderId="0" xfId="0" applyFont="1" applyFill="1"/>
    <xf numFmtId="0" fontId="20" fillId="0" borderId="0" xfId="0" applyFont="1" applyFill="1" applyAlignment="1"/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right"/>
    </xf>
    <xf numFmtId="49" fontId="2" fillId="2" borderId="0" xfId="0" applyNumberFormat="1" applyFont="1" applyFill="1" applyBorder="1" applyAlignment="1">
      <alignment horizontal="center"/>
    </xf>
    <xf numFmtId="166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167" fontId="7" fillId="2" borderId="0" xfId="0" applyNumberFormat="1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2" fontId="2" fillId="2" borderId="0" xfId="0" applyNumberFormat="1" applyFont="1" applyFill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left" vertical="center" wrapText="1"/>
    </xf>
    <xf numFmtId="2" fontId="2" fillId="0" borderId="6" xfId="0" applyNumberFormat="1" applyFont="1" applyFill="1" applyBorder="1" applyAlignment="1">
      <alignment horizontal="center" vertical="top" wrapText="1"/>
    </xf>
    <xf numFmtId="0" fontId="16" fillId="2" borderId="7" xfId="0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top" wrapText="1"/>
    </xf>
    <xf numFmtId="0" fontId="16" fillId="2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2" fontId="2" fillId="0" borderId="8" xfId="0" applyNumberFormat="1" applyFont="1" applyFill="1" applyBorder="1" applyAlignment="1">
      <alignment horizontal="center" vertical="top" wrapText="1"/>
    </xf>
    <xf numFmtId="0" fontId="16" fillId="2" borderId="7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left" vertical="center"/>
    </xf>
    <xf numFmtId="0" fontId="16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49" fontId="11" fillId="4" borderId="2" xfId="0" applyNumberFormat="1" applyFont="1" applyFill="1" applyBorder="1" applyAlignment="1">
      <alignment horizontal="left" vertical="center" wrapText="1"/>
    </xf>
    <xf numFmtId="4" fontId="2" fillId="4" borderId="2" xfId="0" applyNumberFormat="1" applyFont="1" applyFill="1" applyBorder="1" applyAlignment="1">
      <alignment horizontal="right" vertical="center" wrapText="1"/>
    </xf>
    <xf numFmtId="49" fontId="2" fillId="4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wrapText="1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horizontal="left" vertical="top"/>
    </xf>
    <xf numFmtId="2" fontId="2" fillId="2" borderId="2" xfId="0" applyNumberFormat="1" applyFont="1" applyFill="1" applyBorder="1" applyAlignment="1">
      <alignment horizontal="left" vertical="center"/>
    </xf>
    <xf numFmtId="4" fontId="2" fillId="2" borderId="2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vertical="center" wrapText="1"/>
    </xf>
    <xf numFmtId="4" fontId="2" fillId="0" borderId="0" xfId="0" applyNumberFormat="1" applyFont="1" applyFill="1"/>
    <xf numFmtId="172" fontId="2" fillId="0" borderId="0" xfId="0" applyNumberFormat="1" applyFont="1" applyFill="1"/>
    <xf numFmtId="49" fontId="2" fillId="2" borderId="2" xfId="0" applyNumberFormat="1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49" fontId="14" fillId="2" borderId="2" xfId="0" applyNumberFormat="1" applyFont="1" applyFill="1" applyBorder="1" applyAlignment="1">
      <alignment horizontal="left" vertical="center" wrapText="1"/>
    </xf>
    <xf numFmtId="4" fontId="14" fillId="2" borderId="2" xfId="0" applyNumberFormat="1" applyFont="1" applyFill="1" applyBorder="1" applyAlignment="1">
      <alignment horizontal="right" vertical="center"/>
    </xf>
    <xf numFmtId="0" fontId="22" fillId="0" borderId="2" xfId="0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center" textRotation="90"/>
    </xf>
    <xf numFmtId="0" fontId="23" fillId="0" borderId="0" xfId="0" applyFont="1" applyFill="1" applyAlignment="1">
      <alignment vertical="top" wrapText="1"/>
    </xf>
    <xf numFmtId="0" fontId="2" fillId="0" borderId="0" xfId="0" applyFont="1" applyFill="1" applyAlignment="1">
      <alignment wrapText="1"/>
    </xf>
    <xf numFmtId="0" fontId="23" fillId="0" borderId="0" xfId="0" applyFont="1" applyFill="1" applyBorder="1" applyAlignment="1">
      <alignment horizontal="center" textRotation="90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/>
    </xf>
    <xf numFmtId="49" fontId="11" fillId="2" borderId="2" xfId="0" applyNumberFormat="1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top"/>
    </xf>
    <xf numFmtId="4" fontId="17" fillId="2" borderId="2" xfId="0" applyNumberFormat="1" applyFont="1" applyFill="1" applyBorder="1" applyAlignment="1">
      <alignment horizontal="right" vertical="center"/>
    </xf>
    <xf numFmtId="49" fontId="6" fillId="2" borderId="2" xfId="0" applyNumberFormat="1" applyFont="1" applyFill="1" applyBorder="1" applyAlignment="1">
      <alignment horizontal="center" vertical="top"/>
    </xf>
    <xf numFmtId="49" fontId="16" fillId="2" borderId="2" xfId="0" applyNumberFormat="1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2" fillId="2" borderId="2" xfId="0" applyFont="1" applyFill="1" applyBorder="1" applyAlignment="1">
      <alignment horizontal="left" vertical="center" wrapText="1"/>
    </xf>
    <xf numFmtId="49" fontId="7" fillId="2" borderId="6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49" fontId="7" fillId="2" borderId="8" xfId="0" applyNumberFormat="1" applyFont="1" applyFill="1" applyBorder="1" applyAlignment="1">
      <alignment horizontal="center" vertical="center"/>
    </xf>
    <xf numFmtId="0" fontId="20" fillId="2" borderId="2" xfId="0" applyNumberFormat="1" applyFont="1" applyFill="1" applyBorder="1" applyAlignment="1">
      <alignment horizontal="left" vertical="top"/>
    </xf>
    <xf numFmtId="0" fontId="20" fillId="2" borderId="2" xfId="0" applyNumberFormat="1" applyFont="1" applyFill="1" applyBorder="1" applyAlignment="1">
      <alignment horizontal="center" vertical="top"/>
    </xf>
    <xf numFmtId="4" fontId="20" fillId="2" borderId="2" xfId="0" applyNumberFormat="1" applyFont="1" applyFill="1" applyBorder="1" applyAlignment="1">
      <alignment horizontal="right" vertical="center"/>
    </xf>
    <xf numFmtId="4" fontId="20" fillId="2" borderId="2" xfId="0" applyNumberFormat="1" applyFont="1" applyFill="1" applyBorder="1"/>
    <xf numFmtId="0" fontId="20" fillId="2" borderId="2" xfId="0" applyFont="1" applyFill="1" applyBorder="1" applyAlignment="1">
      <alignment horizontal="center" vertical="top" wrapText="1"/>
    </xf>
    <xf numFmtId="0" fontId="20" fillId="2" borderId="2" xfId="0" applyFont="1" applyFill="1" applyBorder="1"/>
    <xf numFmtId="4" fontId="20" fillId="2" borderId="2" xfId="0" applyNumberFormat="1" applyFont="1" applyFill="1" applyBorder="1" applyAlignment="1">
      <alignment horizontal="center" vertical="top" wrapText="1"/>
    </xf>
    <xf numFmtId="0" fontId="24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left"/>
    </xf>
    <xf numFmtId="4" fontId="15" fillId="2" borderId="0" xfId="0" applyNumberFormat="1" applyFont="1" applyFill="1" applyBorder="1" applyAlignment="1">
      <alignment horizontal="left"/>
    </xf>
    <xf numFmtId="167" fontId="15" fillId="2" borderId="0" xfId="0" applyNumberFormat="1" applyFont="1" applyFill="1" applyBorder="1" applyAlignment="1">
      <alignment horizontal="left"/>
    </xf>
    <xf numFmtId="0" fontId="15" fillId="0" borderId="0" xfId="0" applyFont="1" applyFill="1" applyBorder="1" applyAlignment="1">
      <alignment horizontal="right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168" fontId="2" fillId="2" borderId="0" xfId="0" applyNumberFormat="1" applyFont="1" applyFill="1" applyAlignment="1">
      <alignment horizontal="center" vertical="top"/>
    </xf>
    <xf numFmtId="4" fontId="2" fillId="2" borderId="0" xfId="0" applyNumberFormat="1" applyFont="1" applyFill="1" applyAlignment="1">
      <alignment horizontal="center" vertical="top"/>
    </xf>
    <xf numFmtId="4" fontId="2" fillId="2" borderId="0" xfId="0" applyNumberFormat="1" applyFont="1" applyFill="1"/>
    <xf numFmtId="49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6" fillId="0" borderId="0" xfId="2" applyFont="1" applyFill="1" applyAlignment="1">
      <alignment horizontal="right" vertical="top" wrapText="1"/>
    </xf>
    <xf numFmtId="0" fontId="4" fillId="0" borderId="0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left" vertical="center" wrapText="1"/>
    </xf>
    <xf numFmtId="0" fontId="2" fillId="0" borderId="5" xfId="2" applyFont="1" applyFill="1" applyBorder="1" applyAlignment="1">
      <alignment horizontal="left" vertical="center" wrapText="1"/>
    </xf>
    <xf numFmtId="14" fontId="2" fillId="0" borderId="2" xfId="2" applyNumberFormat="1" applyFont="1" applyFill="1" applyBorder="1" applyAlignment="1">
      <alignment vertical="center" wrapText="1"/>
    </xf>
    <xf numFmtId="49" fontId="2" fillId="0" borderId="2" xfId="2" applyNumberFormat="1" applyFont="1" applyFill="1" applyBorder="1" applyAlignment="1">
      <alignment vertical="center"/>
    </xf>
    <xf numFmtId="0" fontId="2" fillId="0" borderId="2" xfId="2" applyNumberFormat="1" applyFont="1" applyFill="1" applyBorder="1" applyAlignment="1">
      <alignment horizontal="center" vertical="top" wrapText="1"/>
    </xf>
    <xf numFmtId="0" fontId="26" fillId="0" borderId="0" xfId="0" applyFont="1" applyFill="1"/>
    <xf numFmtId="0" fontId="27" fillId="0" borderId="0" xfId="0" applyFont="1" applyFill="1"/>
    <xf numFmtId="167" fontId="6" fillId="0" borderId="0" xfId="0" applyNumberFormat="1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left" vertical="top" wrapText="1"/>
    </xf>
    <xf numFmtId="0" fontId="6" fillId="0" borderId="0" xfId="2" applyFont="1" applyFill="1" applyAlignment="1">
      <alignment vertical="top" wrapText="1"/>
    </xf>
    <xf numFmtId="0" fontId="2" fillId="0" borderId="5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28" fillId="0" borderId="6" xfId="0" applyFont="1" applyFill="1" applyBorder="1" applyAlignment="1">
      <alignment horizontal="left" vertical="center" wrapText="1"/>
    </xf>
    <xf numFmtId="0" fontId="2" fillId="0" borderId="7" xfId="2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vertical="center"/>
    </xf>
    <xf numFmtId="0" fontId="2" fillId="0" borderId="8" xfId="2" applyFont="1" applyFill="1" applyBorder="1" applyAlignment="1">
      <alignment horizontal="left" vertical="center" wrapText="1"/>
    </xf>
    <xf numFmtId="173" fontId="2" fillId="0" borderId="2" xfId="0" applyNumberFormat="1" applyFont="1" applyFill="1" applyBorder="1" applyAlignment="1">
      <alignment horizontal="center" vertical="center"/>
    </xf>
    <xf numFmtId="164" fontId="17" fillId="0" borderId="2" xfId="0" applyNumberFormat="1" applyFont="1" applyFill="1" applyBorder="1" applyAlignment="1">
      <alignment horizontal="center" vertical="center"/>
    </xf>
    <xf numFmtId="164" fontId="17" fillId="2" borderId="2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171" fontId="2" fillId="0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vertical="center" wrapText="1"/>
    </xf>
    <xf numFmtId="164" fontId="14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top" wrapText="1"/>
    </xf>
    <xf numFmtId="0" fontId="29" fillId="0" borderId="2" xfId="0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left" vertical="top" wrapText="1"/>
    </xf>
    <xf numFmtId="173" fontId="2" fillId="2" borderId="2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0" fontId="14" fillId="2" borderId="7" xfId="0" applyFont="1" applyFill="1" applyBorder="1" applyAlignment="1">
      <alignment horizontal="center" vertical="top" wrapText="1"/>
    </xf>
    <xf numFmtId="49" fontId="6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top"/>
    </xf>
    <xf numFmtId="0" fontId="6" fillId="0" borderId="0" xfId="0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 wrapText="1"/>
    </xf>
    <xf numFmtId="164" fontId="30" fillId="0" borderId="0" xfId="1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/>
    <xf numFmtId="164" fontId="2" fillId="2" borderId="0" xfId="0" applyNumberFormat="1" applyFont="1" applyFill="1" applyBorder="1"/>
    <xf numFmtId="0" fontId="6" fillId="0" borderId="0" xfId="0" applyFont="1" applyFill="1" applyBorder="1"/>
    <xf numFmtId="0" fontId="24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right"/>
    </xf>
    <xf numFmtId="0" fontId="20" fillId="2" borderId="0" xfId="0" applyFont="1" applyFill="1"/>
    <xf numFmtId="0" fontId="24" fillId="0" borderId="0" xfId="0" applyFont="1" applyFill="1" applyBorder="1" applyAlignment="1">
      <alignment horizontal="right"/>
    </xf>
    <xf numFmtId="0" fontId="23" fillId="0" borderId="0" xfId="0" applyFont="1" applyFill="1"/>
    <xf numFmtId="0" fontId="2" fillId="0" borderId="2" xfId="2" applyFont="1" applyFill="1" applyBorder="1" applyAlignment="1">
      <alignment horizontal="left" vertical="center" wrapText="1"/>
    </xf>
    <xf numFmtId="0" fontId="8" fillId="0" borderId="2" xfId="0" applyFont="1" applyFill="1" applyBorder="1"/>
    <xf numFmtId="0" fontId="2" fillId="7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14" fontId="2" fillId="0" borderId="2" xfId="2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/>
    <xf numFmtId="0" fontId="2" fillId="0" borderId="0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right" vertical="center"/>
    </xf>
    <xf numFmtId="164" fontId="2" fillId="2" borderId="6" xfId="0" applyNumberFormat="1" applyFont="1" applyFill="1" applyBorder="1" applyAlignment="1">
      <alignment horizontal="right" vertical="center"/>
    </xf>
    <xf numFmtId="174" fontId="2" fillId="0" borderId="0" xfId="0" applyNumberFormat="1" applyFont="1" applyFill="1"/>
    <xf numFmtId="164" fontId="2" fillId="0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top" wrapText="1"/>
    </xf>
    <xf numFmtId="0" fontId="20" fillId="0" borderId="2" xfId="0" applyFont="1" applyFill="1" applyBorder="1"/>
    <xf numFmtId="0" fontId="20" fillId="0" borderId="2" xfId="0" applyNumberFormat="1" applyFont="1" applyFill="1" applyBorder="1" applyAlignment="1">
      <alignment horizontal="left" vertical="center"/>
    </xf>
    <xf numFmtId="0" fontId="20" fillId="0" borderId="2" xfId="0" applyFont="1" applyFill="1" applyBorder="1" applyAlignment="1">
      <alignment vertical="center" wrapText="1"/>
    </xf>
    <xf numFmtId="0" fontId="20" fillId="0" borderId="3" xfId="0" applyNumberFormat="1" applyFont="1" applyFill="1" applyBorder="1" applyAlignment="1">
      <alignment horizontal="left" vertical="center"/>
    </xf>
    <xf numFmtId="0" fontId="20" fillId="0" borderId="5" xfId="0" applyNumberFormat="1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 wrapText="1"/>
    </xf>
    <xf numFmtId="0" fontId="31" fillId="0" borderId="0" xfId="0" applyFont="1" applyFill="1" applyBorder="1" applyAlignment="1">
      <alignment horizontal="left"/>
    </xf>
    <xf numFmtId="0" fontId="32" fillId="0" borderId="0" xfId="0" applyFont="1" applyFill="1" applyBorder="1" applyAlignment="1">
      <alignment horizontal="right"/>
    </xf>
    <xf numFmtId="0" fontId="32" fillId="0" borderId="0" xfId="0" applyFont="1" applyFill="1"/>
    <xf numFmtId="0" fontId="32" fillId="0" borderId="0" xfId="0" applyFont="1" applyFill="1" applyAlignment="1">
      <alignment horizontal="center" vertical="center"/>
    </xf>
    <xf numFmtId="165" fontId="32" fillId="0" borderId="0" xfId="0" applyNumberFormat="1" applyFont="1" applyFill="1"/>
    <xf numFmtId="0" fontId="31" fillId="0" borderId="0" xfId="0" applyFont="1" applyFill="1" applyBorder="1" applyAlignment="1">
      <alignment horizontal="right"/>
    </xf>
  </cellXfs>
  <cellStyles count="3">
    <cellStyle name="Обычный" xfId="0" builtinId="0"/>
    <cellStyle name="Обычный 2" xfId="2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_2%20&#1082;%20&#1052;&#1055;!%20&#1043;&#1057;%2027.04.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_2%20&#1082;%20&#1052;&#1055;!%20&#1076;&#1086;%2026.05.202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6;&#1076;&#1087;&#1088;&#1086;&#1075;&#1088;&#1072;&#1084;&#1084;&#1072;%204/&#1055;&#1088;&#1080;&#1083;&#1086;&#1078;&#1077;&#1085;&#1080;&#1077;%202_&#1082;%20&#1087;&#1086;&#1076;&#1087;&#1088;&#1086;&#1075;&#1088;&#1072;&#1084;&#1084;&#1077;%204_&#1043;&#1057;%2026.01.20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6;&#1076;&#1087;&#1088;&#1086;&#1075;&#1088;&#1072;&#1084;&#1084;&#1072;%202/2%20&#1055;&#1088;&#1080;&#1083;&#1086;&#1078;&#1077;&#1085;&#1080;&#1077;%202_&#1082;%20&#1087;&#1086;&#1076;&#1087;&#1088;&#1086;&#1075;&#1088;&#1072;&#1084;&#1084;&#1077;%202_&#1043;&#1057;%2026.01.2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6;&#1076;&#1087;&#1088;&#1086;&#1075;&#1088;&#1072;&#1084;&#1084;&#1072;%203/&#1055;&#1088;&#1080;&#1083;&#1086;&#1078;&#1077;&#1085;&#1080;&#1077;%202_&#1082;%20&#1087;&#1086;&#1076;&#1087;&#1088;&#1086;&#1075;&#1088;&#1072;&#1084;&#1084;&#1077;%203_&#1043;&#1057;%2026.01.202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103;_1_2%20&#1082;%20&#1087;&#1072;&#1089;&#1087;&#1086;&#1088;&#1090;&#1091;%20&#1052;&#105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№2 к МП"/>
      <sheetName val="Лист1"/>
    </sheetNames>
    <sheetDataSet>
      <sheetData sheetId="0">
        <row r="11">
          <cell r="L11">
            <v>341628.2</v>
          </cell>
        </row>
        <row r="16">
          <cell r="L16">
            <v>386998.4</v>
          </cell>
          <cell r="M16">
            <v>352741.9</v>
          </cell>
          <cell r="N16">
            <v>328802.2</v>
          </cell>
        </row>
        <row r="22">
          <cell r="M22">
            <v>9023.5</v>
          </cell>
          <cell r="N22">
            <v>9023.5</v>
          </cell>
        </row>
        <row r="27">
          <cell r="L27">
            <v>86422.2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№2 к МП"/>
      <sheetName val="Лист1"/>
    </sheetNames>
    <sheetDataSet>
      <sheetData sheetId="0">
        <row r="11">
          <cell r="K11">
            <v>312164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№1 к Паспорту ГП"/>
      <sheetName val="Прил №2 к Паспорту ГП"/>
      <sheetName val="Прил №3 к Паспорту ГП"/>
      <sheetName val="Прил №1 к ГП"/>
      <sheetName val="Прил №2 к ГП"/>
      <sheetName val="Прил №3 к ГП"/>
      <sheetName val="Показатели пп 1"/>
      <sheetName val="Мероприятия пп 1"/>
      <sheetName val="Приложение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1">
          <cell r="P21">
            <v>23638.799999999999</v>
          </cell>
          <cell r="Q21">
            <v>20340</v>
          </cell>
          <cell r="R21">
            <v>20340</v>
          </cell>
        </row>
        <row r="52">
          <cell r="P52">
            <v>56503.199999999997</v>
          </cell>
          <cell r="Q52">
            <v>50749.9</v>
          </cell>
          <cell r="R52">
            <v>50749.9</v>
          </cell>
        </row>
        <row r="54">
          <cell r="P54">
            <v>2377.6</v>
          </cell>
          <cell r="Q54">
            <v>2072.4</v>
          </cell>
          <cell r="R54">
            <v>2072.4</v>
          </cell>
        </row>
        <row r="56">
          <cell r="P56">
            <v>449</v>
          </cell>
          <cell r="Q56">
            <v>449</v>
          </cell>
          <cell r="R56">
            <v>449</v>
          </cell>
        </row>
        <row r="58">
          <cell r="P58">
            <v>26172.400000000001</v>
          </cell>
          <cell r="Q58">
            <v>9485.6</v>
          </cell>
          <cell r="R58">
            <v>3482.1</v>
          </cell>
        </row>
        <row r="59">
          <cell r="P59">
            <v>920</v>
          </cell>
          <cell r="Q59">
            <v>8525.1</v>
          </cell>
          <cell r="R59">
            <v>8525.1</v>
          </cell>
        </row>
        <row r="62">
          <cell r="P62">
            <v>920</v>
          </cell>
          <cell r="Q62">
            <v>8525.1</v>
          </cell>
          <cell r="R62">
            <v>8525.1</v>
          </cell>
        </row>
        <row r="63">
          <cell r="P63">
            <v>28999</v>
          </cell>
          <cell r="Q63">
            <v>12007</v>
          </cell>
          <cell r="R63">
            <v>6003.5</v>
          </cell>
        </row>
        <row r="64">
          <cell r="P64">
            <v>56503.199999999997</v>
          </cell>
          <cell r="Q64">
            <v>50749.9</v>
          </cell>
          <cell r="R64">
            <v>50749.9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№1 к Паспорту ГП"/>
      <sheetName val="Прил №2 к Паспорту ГП"/>
      <sheetName val="Мероприятия пп 2"/>
    </sheetNames>
    <sheetDataSet>
      <sheetData sheetId="0" refreshError="1"/>
      <sheetData sheetId="1" refreshError="1"/>
      <sheetData sheetId="2">
        <row r="150">
          <cell r="P150">
            <v>243087</v>
          </cell>
          <cell r="Q150">
            <v>224870.5</v>
          </cell>
          <cell r="R150">
            <v>218387.8</v>
          </cell>
        </row>
        <row r="151">
          <cell r="P151">
            <v>28845.9</v>
          </cell>
          <cell r="Q151">
            <v>29526.5</v>
          </cell>
        </row>
        <row r="152">
          <cell r="P152">
            <v>112198.5</v>
          </cell>
          <cell r="Q152">
            <v>96402.2</v>
          </cell>
          <cell r="R152">
            <v>96354.7</v>
          </cell>
        </row>
        <row r="153">
          <cell r="P153">
            <v>2867</v>
          </cell>
          <cell r="Q153">
            <v>1942.7</v>
          </cell>
          <cell r="R153">
            <v>1942.7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роприятия пп 3"/>
      <sheetName val="Лист1"/>
    </sheetNames>
    <sheetDataSet>
      <sheetData sheetId="0">
        <row r="36">
          <cell r="P36">
            <v>8811.4</v>
          </cell>
          <cell r="Q36">
            <v>7391.5</v>
          </cell>
          <cell r="R36">
            <v>7391.5</v>
          </cell>
        </row>
        <row r="37">
          <cell r="Q37">
            <v>1632</v>
          </cell>
          <cell r="R37">
            <v>1632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"/>
      <sheetName val="Приложение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6"/>
  <sheetViews>
    <sheetView view="pageBreakPreview" zoomScaleNormal="100" zoomScaleSheetLayoutView="100" workbookViewId="0">
      <pane xSplit="2" ySplit="6" topLeftCell="C7" activePane="bottomRight" state="frozen"/>
      <selection activeCell="P85" sqref="P85"/>
      <selection pane="topRight" activeCell="P85" sqref="P85"/>
      <selection pane="bottomLeft" activeCell="P85" sqref="P85"/>
      <selection pane="bottomRight" activeCell="C14" sqref="C14"/>
    </sheetView>
  </sheetViews>
  <sheetFormatPr defaultRowHeight="15.75" x14ac:dyDescent="0.25"/>
  <cols>
    <col min="1" max="1" width="7.5703125" style="188" customWidth="1"/>
    <col min="2" max="2" width="79.140625" style="53" customWidth="1"/>
    <col min="3" max="3" width="12" style="53" customWidth="1"/>
    <col min="4" max="4" width="11.85546875" style="53" customWidth="1"/>
    <col min="5" max="5" width="26.140625" style="53" customWidth="1"/>
    <col min="6" max="6" width="11.42578125" style="53" hidden="1" customWidth="1"/>
    <col min="7" max="13" width="10.7109375" style="53" customWidth="1"/>
    <col min="14" max="15" width="10.7109375" style="117" customWidth="1"/>
    <col min="16" max="16384" width="9.140625" style="53"/>
  </cols>
  <sheetData>
    <row r="1" spans="1:17" ht="65.25" customHeight="1" x14ac:dyDescent="0.25">
      <c r="A1" s="112"/>
      <c r="B1" s="113"/>
      <c r="C1" s="114"/>
      <c r="D1" s="113"/>
      <c r="E1" s="113"/>
      <c r="G1" s="115" t="s">
        <v>95</v>
      </c>
      <c r="H1" s="115"/>
      <c r="I1" s="115"/>
      <c r="J1" s="115"/>
      <c r="K1" s="115"/>
      <c r="L1" s="115"/>
      <c r="M1" s="115"/>
      <c r="N1" s="115"/>
      <c r="O1" s="115"/>
      <c r="P1" s="115"/>
    </row>
    <row r="2" spans="1:17" ht="37.5" customHeight="1" x14ac:dyDescent="0.25">
      <c r="A2" s="116" t="s">
        <v>96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7" x14ac:dyDescent="0.25">
      <c r="A3" s="118" t="s">
        <v>97</v>
      </c>
      <c r="B3" s="119" t="s">
        <v>98</v>
      </c>
      <c r="C3" s="119" t="s">
        <v>99</v>
      </c>
      <c r="D3" s="119" t="s">
        <v>100</v>
      </c>
      <c r="E3" s="119" t="s">
        <v>101</v>
      </c>
      <c r="F3" s="50" t="s">
        <v>102</v>
      </c>
      <c r="G3" s="50" t="s">
        <v>41</v>
      </c>
      <c r="H3" s="50" t="s">
        <v>42</v>
      </c>
      <c r="I3" s="50" t="s">
        <v>43</v>
      </c>
      <c r="J3" s="50" t="s">
        <v>44</v>
      </c>
      <c r="K3" s="50" t="s">
        <v>45</v>
      </c>
      <c r="L3" s="50" t="s">
        <v>46</v>
      </c>
      <c r="M3" s="50" t="s">
        <v>47</v>
      </c>
      <c r="N3" s="50" t="s">
        <v>48</v>
      </c>
      <c r="O3" s="50" t="s">
        <v>49</v>
      </c>
      <c r="P3" s="50" t="s">
        <v>50</v>
      </c>
      <c r="Q3" s="50" t="s">
        <v>51</v>
      </c>
    </row>
    <row r="4" spans="1:17" x14ac:dyDescent="0.25">
      <c r="A4" s="118"/>
      <c r="B4" s="119"/>
      <c r="C4" s="119"/>
      <c r="D4" s="119"/>
      <c r="E4" s="119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7" x14ac:dyDescent="0.25">
      <c r="A5" s="118"/>
      <c r="B5" s="119"/>
      <c r="C5" s="119"/>
      <c r="D5" s="119"/>
      <c r="E5" s="119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</row>
    <row r="6" spans="1:17" x14ac:dyDescent="0.25">
      <c r="A6" s="119" t="s">
        <v>103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20"/>
      <c r="Q6" s="121"/>
    </row>
    <row r="7" spans="1:17" ht="47.25" x14ac:dyDescent="0.25">
      <c r="A7" s="35">
        <v>1</v>
      </c>
      <c r="B7" s="122" t="s">
        <v>104</v>
      </c>
      <c r="C7" s="34" t="s">
        <v>105</v>
      </c>
      <c r="D7" s="123" t="s">
        <v>106</v>
      </c>
      <c r="E7" s="124" t="s">
        <v>107</v>
      </c>
      <c r="F7" s="125"/>
      <c r="G7" s="126">
        <v>95</v>
      </c>
      <c r="H7" s="126">
        <v>95</v>
      </c>
      <c r="I7" s="126">
        <v>96</v>
      </c>
      <c r="J7" s="126">
        <v>96</v>
      </c>
      <c r="K7" s="126">
        <v>96</v>
      </c>
      <c r="L7" s="126">
        <v>96</v>
      </c>
      <c r="M7" s="126">
        <v>96</v>
      </c>
      <c r="N7" s="126">
        <v>96</v>
      </c>
      <c r="O7" s="126">
        <f>N7</f>
        <v>96</v>
      </c>
      <c r="P7" s="127">
        <f>O7</f>
        <v>96</v>
      </c>
      <c r="Q7" s="128">
        <f>P7</f>
        <v>96</v>
      </c>
    </row>
    <row r="8" spans="1:17" ht="63" x14ac:dyDescent="0.25">
      <c r="A8" s="35" t="s">
        <v>108</v>
      </c>
      <c r="B8" s="122" t="s">
        <v>109</v>
      </c>
      <c r="C8" s="34" t="s">
        <v>105</v>
      </c>
      <c r="D8" s="123" t="s">
        <v>106</v>
      </c>
      <c r="E8" s="124" t="s">
        <v>110</v>
      </c>
      <c r="F8" s="98">
        <v>80</v>
      </c>
      <c r="G8" s="36">
        <v>91.3</v>
      </c>
      <c r="H8" s="36">
        <v>100</v>
      </c>
      <c r="I8" s="36">
        <v>100</v>
      </c>
      <c r="J8" s="36">
        <v>100</v>
      </c>
      <c r="K8" s="36">
        <v>100</v>
      </c>
      <c r="L8" s="36">
        <v>100</v>
      </c>
      <c r="M8" s="36">
        <v>100</v>
      </c>
      <c r="N8" s="36">
        <v>100</v>
      </c>
      <c r="O8" s="126">
        <f t="shared" ref="O8:Q23" si="0">N8</f>
        <v>100</v>
      </c>
      <c r="P8" s="127">
        <f t="shared" si="0"/>
        <v>100</v>
      </c>
      <c r="Q8" s="128">
        <f t="shared" si="0"/>
        <v>100</v>
      </c>
    </row>
    <row r="9" spans="1:17" ht="63" x14ac:dyDescent="0.25">
      <c r="A9" s="35" t="s">
        <v>111</v>
      </c>
      <c r="B9" s="129" t="s">
        <v>112</v>
      </c>
      <c r="C9" s="123" t="s">
        <v>105</v>
      </c>
      <c r="D9" s="123" t="s">
        <v>106</v>
      </c>
      <c r="E9" s="123" t="s">
        <v>110</v>
      </c>
      <c r="F9" s="123">
        <v>1.96</v>
      </c>
      <c r="G9" s="130">
        <v>98.53</v>
      </c>
      <c r="H9" s="130">
        <v>98.6</v>
      </c>
      <c r="I9" s="130">
        <v>98.6</v>
      </c>
      <c r="J9" s="130">
        <v>100</v>
      </c>
      <c r="K9" s="130">
        <v>100</v>
      </c>
      <c r="L9" s="130">
        <v>100</v>
      </c>
      <c r="M9" s="130">
        <v>100</v>
      </c>
      <c r="N9" s="130">
        <v>100</v>
      </c>
      <c r="O9" s="126">
        <f t="shared" si="0"/>
        <v>100</v>
      </c>
      <c r="P9" s="127">
        <f t="shared" si="0"/>
        <v>100</v>
      </c>
      <c r="Q9" s="128">
        <f t="shared" si="0"/>
        <v>100</v>
      </c>
    </row>
    <row r="10" spans="1:17" ht="63" x14ac:dyDescent="0.25">
      <c r="A10" s="35" t="s">
        <v>113</v>
      </c>
      <c r="B10" s="122" t="s">
        <v>114</v>
      </c>
      <c r="C10" s="34" t="s">
        <v>105</v>
      </c>
      <c r="D10" s="123" t="s">
        <v>106</v>
      </c>
      <c r="E10" s="123" t="s">
        <v>110</v>
      </c>
      <c r="F10" s="131">
        <v>60.5</v>
      </c>
      <c r="G10" s="132">
        <v>67</v>
      </c>
      <c r="H10" s="132">
        <v>83</v>
      </c>
      <c r="I10" s="132">
        <v>83</v>
      </c>
      <c r="J10" s="132">
        <v>83</v>
      </c>
      <c r="K10" s="132">
        <v>83</v>
      </c>
      <c r="L10" s="132">
        <v>83</v>
      </c>
      <c r="M10" s="132">
        <v>100</v>
      </c>
      <c r="N10" s="132">
        <v>100</v>
      </c>
      <c r="O10" s="126">
        <f t="shared" si="0"/>
        <v>100</v>
      </c>
      <c r="P10" s="127">
        <f t="shared" si="0"/>
        <v>100</v>
      </c>
      <c r="Q10" s="128">
        <f t="shared" si="0"/>
        <v>100</v>
      </c>
    </row>
    <row r="11" spans="1:17" s="80" customFormat="1" x14ac:dyDescent="0.25">
      <c r="A11" s="133" t="s">
        <v>115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4"/>
      <c r="O11" s="135"/>
      <c r="P11" s="136"/>
      <c r="Q11" s="137"/>
    </row>
    <row r="12" spans="1:17" s="80" customFormat="1" x14ac:dyDescent="0.25">
      <c r="A12" s="133" t="s">
        <v>116</v>
      </c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4"/>
      <c r="O12" s="135"/>
      <c r="P12" s="136"/>
      <c r="Q12" s="137"/>
    </row>
    <row r="13" spans="1:17" s="80" customFormat="1" x14ac:dyDescent="0.25">
      <c r="A13" s="133" t="s">
        <v>117</v>
      </c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4"/>
      <c r="O13" s="135"/>
      <c r="P13" s="136"/>
      <c r="Q13" s="137"/>
    </row>
    <row r="14" spans="1:17" ht="31.5" x14ac:dyDescent="0.25">
      <c r="A14" s="35" t="s">
        <v>118</v>
      </c>
      <c r="B14" s="122" t="s">
        <v>119</v>
      </c>
      <c r="C14" s="36" t="s">
        <v>105</v>
      </c>
      <c r="D14" s="34">
        <v>0.03</v>
      </c>
      <c r="E14" s="138" t="s">
        <v>120</v>
      </c>
      <c r="F14" s="36">
        <v>64</v>
      </c>
      <c r="G14" s="36">
        <v>90.1</v>
      </c>
      <c r="H14" s="139">
        <v>97.5</v>
      </c>
      <c r="I14" s="139">
        <v>100</v>
      </c>
      <c r="J14" s="139">
        <v>100</v>
      </c>
      <c r="K14" s="139">
        <v>100</v>
      </c>
      <c r="L14" s="139">
        <v>100</v>
      </c>
      <c r="M14" s="139">
        <v>100</v>
      </c>
      <c r="N14" s="139">
        <v>100</v>
      </c>
      <c r="O14" s="139">
        <f>N14</f>
        <v>100</v>
      </c>
      <c r="P14" s="140">
        <f>O14</f>
        <v>100</v>
      </c>
      <c r="Q14" s="128">
        <f t="shared" si="0"/>
        <v>100</v>
      </c>
    </row>
    <row r="15" spans="1:17" ht="63" x14ac:dyDescent="0.25">
      <c r="A15" s="35" t="s">
        <v>121</v>
      </c>
      <c r="B15" s="122" t="s">
        <v>122</v>
      </c>
      <c r="C15" s="36" t="s">
        <v>105</v>
      </c>
      <c r="D15" s="34">
        <v>0.03</v>
      </c>
      <c r="E15" s="138" t="s">
        <v>120</v>
      </c>
      <c r="F15" s="141">
        <v>78.8</v>
      </c>
      <c r="G15" s="141">
        <v>85</v>
      </c>
      <c r="H15" s="141">
        <v>97</v>
      </c>
      <c r="I15" s="139">
        <v>100</v>
      </c>
      <c r="J15" s="139">
        <v>100</v>
      </c>
      <c r="K15" s="139">
        <v>100</v>
      </c>
      <c r="L15" s="139">
        <v>100</v>
      </c>
      <c r="M15" s="139">
        <v>100</v>
      </c>
      <c r="N15" s="139">
        <v>100</v>
      </c>
      <c r="O15" s="139">
        <f t="shared" ref="O15:P17" si="1">N15</f>
        <v>100</v>
      </c>
      <c r="P15" s="140">
        <f t="shared" si="1"/>
        <v>100</v>
      </c>
      <c r="Q15" s="128">
        <f t="shared" si="0"/>
        <v>100</v>
      </c>
    </row>
    <row r="16" spans="1:17" ht="94.5" x14ac:dyDescent="0.25">
      <c r="A16" s="35" t="s">
        <v>123</v>
      </c>
      <c r="B16" s="122" t="s">
        <v>124</v>
      </c>
      <c r="C16" s="36" t="s">
        <v>105</v>
      </c>
      <c r="D16" s="34">
        <v>0.03</v>
      </c>
      <c r="E16" s="138" t="s">
        <v>120</v>
      </c>
      <c r="F16" s="142" t="s">
        <v>125</v>
      </c>
      <c r="G16" s="36" t="s">
        <v>125</v>
      </c>
      <c r="H16" s="139">
        <v>0</v>
      </c>
      <c r="I16" s="139">
        <v>0</v>
      </c>
      <c r="J16" s="139">
        <v>100</v>
      </c>
      <c r="K16" s="139">
        <v>100</v>
      </c>
      <c r="L16" s="139">
        <v>100</v>
      </c>
      <c r="M16" s="139">
        <v>100</v>
      </c>
      <c r="N16" s="139">
        <v>100</v>
      </c>
      <c r="O16" s="139">
        <f t="shared" si="1"/>
        <v>100</v>
      </c>
      <c r="P16" s="140">
        <f t="shared" si="1"/>
        <v>100</v>
      </c>
      <c r="Q16" s="128">
        <f t="shared" si="0"/>
        <v>100</v>
      </c>
    </row>
    <row r="17" spans="1:17" ht="78.75" x14ac:dyDescent="0.25">
      <c r="A17" s="35" t="s">
        <v>126</v>
      </c>
      <c r="B17" s="122" t="s">
        <v>127</v>
      </c>
      <c r="C17" s="36" t="s">
        <v>105</v>
      </c>
      <c r="D17" s="34">
        <v>0.02</v>
      </c>
      <c r="E17" s="138" t="s">
        <v>120</v>
      </c>
      <c r="F17" s="36" t="s">
        <v>125</v>
      </c>
      <c r="G17" s="36" t="s">
        <v>128</v>
      </c>
      <c r="H17" s="139" t="s">
        <v>129</v>
      </c>
      <c r="I17" s="139" t="s">
        <v>129</v>
      </c>
      <c r="J17" s="139" t="s">
        <v>129</v>
      </c>
      <c r="K17" s="139" t="s">
        <v>129</v>
      </c>
      <c r="L17" s="139" t="s">
        <v>129</v>
      </c>
      <c r="M17" s="139" t="s">
        <v>129</v>
      </c>
      <c r="N17" s="139" t="s">
        <v>129</v>
      </c>
      <c r="O17" s="139" t="str">
        <f t="shared" si="1"/>
        <v>80(10)</v>
      </c>
      <c r="P17" s="143" t="str">
        <f t="shared" si="1"/>
        <v>80(10)</v>
      </c>
      <c r="Q17" s="128" t="str">
        <f t="shared" si="0"/>
        <v>80(10)</v>
      </c>
    </row>
    <row r="18" spans="1:17" s="80" customFormat="1" x14ac:dyDescent="0.25">
      <c r="A18" s="133" t="s">
        <v>130</v>
      </c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4"/>
      <c r="O18" s="135"/>
      <c r="P18" s="136"/>
      <c r="Q18" s="137"/>
    </row>
    <row r="19" spans="1:17" s="80" customFormat="1" x14ac:dyDescent="0.25">
      <c r="A19" s="133" t="s">
        <v>131</v>
      </c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4"/>
      <c r="O19" s="135"/>
      <c r="P19" s="136"/>
      <c r="Q19" s="137"/>
    </row>
    <row r="20" spans="1:17" s="80" customFormat="1" x14ac:dyDescent="0.25">
      <c r="A20" s="133" t="s">
        <v>132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4"/>
      <c r="O20" s="135"/>
      <c r="P20" s="136"/>
      <c r="Q20" s="137"/>
    </row>
    <row r="21" spans="1:17" ht="31.5" x14ac:dyDescent="0.25">
      <c r="A21" s="35" t="s">
        <v>133</v>
      </c>
      <c r="B21" s="122" t="s">
        <v>134</v>
      </c>
      <c r="C21" s="34" t="s">
        <v>105</v>
      </c>
      <c r="D21" s="34">
        <v>0.02</v>
      </c>
      <c r="E21" s="124" t="s">
        <v>110</v>
      </c>
      <c r="F21" s="34" t="s">
        <v>135</v>
      </c>
      <c r="G21" s="144">
        <v>71.400000000000006</v>
      </c>
      <c r="H21" s="144">
        <v>85.7</v>
      </c>
      <c r="I21" s="131">
        <v>85.7</v>
      </c>
      <c r="J21" s="131">
        <v>85.7</v>
      </c>
      <c r="K21" s="131">
        <v>85.7</v>
      </c>
      <c r="L21" s="131">
        <v>85.7</v>
      </c>
      <c r="M21" s="131">
        <v>85.7</v>
      </c>
      <c r="N21" s="131">
        <v>85.7</v>
      </c>
      <c r="O21" s="131">
        <f>N21</f>
        <v>85.7</v>
      </c>
      <c r="P21" s="127">
        <f>O21</f>
        <v>85.7</v>
      </c>
      <c r="Q21" s="128">
        <f t="shared" si="0"/>
        <v>85.7</v>
      </c>
    </row>
    <row r="22" spans="1:17" ht="31.5" x14ac:dyDescent="0.25">
      <c r="A22" s="35" t="s">
        <v>136</v>
      </c>
      <c r="B22" s="122" t="s">
        <v>137</v>
      </c>
      <c r="C22" s="34" t="s">
        <v>105</v>
      </c>
      <c r="D22" s="34">
        <v>0.02</v>
      </c>
      <c r="E22" s="124" t="s">
        <v>110</v>
      </c>
      <c r="F22" s="34" t="s">
        <v>135</v>
      </c>
      <c r="G22" s="145">
        <v>75</v>
      </c>
      <c r="H22" s="145">
        <v>75</v>
      </c>
      <c r="I22" s="131">
        <v>75</v>
      </c>
      <c r="J22" s="131">
        <v>85</v>
      </c>
      <c r="K22" s="131">
        <v>85</v>
      </c>
      <c r="L22" s="131">
        <v>85</v>
      </c>
      <c r="M22" s="131">
        <v>85</v>
      </c>
      <c r="N22" s="131">
        <v>85</v>
      </c>
      <c r="O22" s="131">
        <f>N22</f>
        <v>85</v>
      </c>
      <c r="P22" s="127">
        <f>O22</f>
        <v>85</v>
      </c>
      <c r="Q22" s="128">
        <f t="shared" si="0"/>
        <v>85</v>
      </c>
    </row>
    <row r="23" spans="1:17" ht="31.5" x14ac:dyDescent="0.25">
      <c r="A23" s="35" t="s">
        <v>138</v>
      </c>
      <c r="B23" s="122" t="s">
        <v>139</v>
      </c>
      <c r="C23" s="34" t="s">
        <v>140</v>
      </c>
      <c r="D23" s="34">
        <v>0.02</v>
      </c>
      <c r="E23" s="124" t="s">
        <v>110</v>
      </c>
      <c r="F23" s="34"/>
      <c r="G23" s="145">
        <v>8</v>
      </c>
      <c r="H23" s="145">
        <v>8</v>
      </c>
      <c r="I23" s="131">
        <v>8</v>
      </c>
      <c r="J23" s="131">
        <v>8</v>
      </c>
      <c r="K23" s="131">
        <v>8</v>
      </c>
      <c r="L23" s="131">
        <v>8</v>
      </c>
      <c r="M23" s="131">
        <v>8</v>
      </c>
      <c r="N23" s="131">
        <v>8</v>
      </c>
      <c r="O23" s="131">
        <f t="shared" ref="O23:Q42" si="2">N23</f>
        <v>8</v>
      </c>
      <c r="P23" s="127">
        <f t="shared" si="2"/>
        <v>8</v>
      </c>
      <c r="Q23" s="128">
        <f t="shared" si="0"/>
        <v>8</v>
      </c>
    </row>
    <row r="24" spans="1:17" ht="31.5" x14ac:dyDescent="0.25">
      <c r="A24" s="35" t="s">
        <v>141</v>
      </c>
      <c r="B24" s="122" t="s">
        <v>142</v>
      </c>
      <c r="C24" s="34" t="s">
        <v>105</v>
      </c>
      <c r="D24" s="34">
        <v>0.02</v>
      </c>
      <c r="E24" s="124" t="s">
        <v>110</v>
      </c>
      <c r="F24" s="34"/>
      <c r="G24" s="145">
        <v>100</v>
      </c>
      <c r="H24" s="145">
        <v>100</v>
      </c>
      <c r="I24" s="131">
        <v>100</v>
      </c>
      <c r="J24" s="131">
        <v>100</v>
      </c>
      <c r="K24" s="131">
        <v>100</v>
      </c>
      <c r="L24" s="131">
        <v>100</v>
      </c>
      <c r="M24" s="131">
        <v>100</v>
      </c>
      <c r="N24" s="131">
        <v>100</v>
      </c>
      <c r="O24" s="131">
        <f t="shared" si="2"/>
        <v>100</v>
      </c>
      <c r="P24" s="127">
        <f t="shared" si="2"/>
        <v>100</v>
      </c>
      <c r="Q24" s="128">
        <f t="shared" si="2"/>
        <v>100</v>
      </c>
    </row>
    <row r="25" spans="1:17" ht="31.5" x14ac:dyDescent="0.25">
      <c r="A25" s="35" t="s">
        <v>143</v>
      </c>
      <c r="B25" s="122" t="s">
        <v>144</v>
      </c>
      <c r="C25" s="34" t="s">
        <v>140</v>
      </c>
      <c r="D25" s="34">
        <v>0.02</v>
      </c>
      <c r="E25" s="124" t="s">
        <v>110</v>
      </c>
      <c r="F25" s="34" t="s">
        <v>135</v>
      </c>
      <c r="G25" s="145">
        <v>7</v>
      </c>
      <c r="H25" s="145">
        <v>7</v>
      </c>
      <c r="I25" s="145">
        <v>7</v>
      </c>
      <c r="J25" s="145">
        <v>7</v>
      </c>
      <c r="K25" s="145">
        <v>7</v>
      </c>
      <c r="L25" s="145">
        <v>7</v>
      </c>
      <c r="M25" s="145">
        <v>7</v>
      </c>
      <c r="N25" s="145">
        <v>7</v>
      </c>
      <c r="O25" s="131">
        <f t="shared" si="2"/>
        <v>7</v>
      </c>
      <c r="P25" s="127">
        <f t="shared" si="2"/>
        <v>7</v>
      </c>
      <c r="Q25" s="128">
        <f t="shared" si="2"/>
        <v>7</v>
      </c>
    </row>
    <row r="26" spans="1:17" s="80" customFormat="1" x14ac:dyDescent="0.25">
      <c r="A26" s="133" t="s">
        <v>145</v>
      </c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1"/>
      <c r="P26" s="127"/>
      <c r="Q26" s="128"/>
    </row>
    <row r="27" spans="1:17" ht="31.5" x14ac:dyDescent="0.25">
      <c r="A27" s="35" t="s">
        <v>146</v>
      </c>
      <c r="B27" s="122" t="s">
        <v>147</v>
      </c>
      <c r="C27" s="123" t="s">
        <v>105</v>
      </c>
      <c r="D27" s="34">
        <v>0.02</v>
      </c>
      <c r="E27" s="123" t="s">
        <v>110</v>
      </c>
      <c r="F27" s="12">
        <v>15.6</v>
      </c>
      <c r="G27" s="145">
        <v>87.5</v>
      </c>
      <c r="H27" s="145">
        <v>100</v>
      </c>
      <c r="I27" s="145">
        <v>100</v>
      </c>
      <c r="J27" s="145">
        <v>100</v>
      </c>
      <c r="K27" s="145">
        <v>100</v>
      </c>
      <c r="L27" s="146">
        <v>100</v>
      </c>
      <c r="M27" s="146">
        <v>100</v>
      </c>
      <c r="N27" s="146">
        <v>100</v>
      </c>
      <c r="O27" s="131">
        <f t="shared" si="2"/>
        <v>100</v>
      </c>
      <c r="P27" s="127">
        <f t="shared" si="2"/>
        <v>100</v>
      </c>
      <c r="Q27" s="128">
        <f t="shared" si="2"/>
        <v>100</v>
      </c>
    </row>
    <row r="28" spans="1:17" ht="31.5" x14ac:dyDescent="0.25">
      <c r="A28" s="35" t="s">
        <v>148</v>
      </c>
      <c r="B28" s="122" t="s">
        <v>149</v>
      </c>
      <c r="C28" s="123" t="s">
        <v>105</v>
      </c>
      <c r="D28" s="34">
        <v>0.03</v>
      </c>
      <c r="E28" s="123" t="s">
        <v>110</v>
      </c>
      <c r="F28" s="12">
        <v>83.66</v>
      </c>
      <c r="G28" s="145">
        <v>89</v>
      </c>
      <c r="H28" s="145">
        <v>90</v>
      </c>
      <c r="I28" s="146">
        <v>95</v>
      </c>
      <c r="J28" s="146">
        <v>95</v>
      </c>
      <c r="K28" s="146">
        <v>95</v>
      </c>
      <c r="L28" s="146">
        <v>95</v>
      </c>
      <c r="M28" s="146">
        <v>95</v>
      </c>
      <c r="N28" s="146">
        <v>95</v>
      </c>
      <c r="O28" s="131">
        <f t="shared" si="2"/>
        <v>95</v>
      </c>
      <c r="P28" s="127">
        <f t="shared" si="2"/>
        <v>95</v>
      </c>
      <c r="Q28" s="128">
        <f t="shared" si="2"/>
        <v>95</v>
      </c>
    </row>
    <row r="29" spans="1:17" ht="63" x14ac:dyDescent="0.25">
      <c r="A29" s="35" t="s">
        <v>150</v>
      </c>
      <c r="B29" s="122" t="s">
        <v>151</v>
      </c>
      <c r="C29" s="123" t="s">
        <v>105</v>
      </c>
      <c r="D29" s="34">
        <v>0.03</v>
      </c>
      <c r="E29" s="123" t="s">
        <v>110</v>
      </c>
      <c r="F29" s="147">
        <v>90</v>
      </c>
      <c r="G29" s="145">
        <v>10.1</v>
      </c>
      <c r="H29" s="145">
        <v>10.1</v>
      </c>
      <c r="I29" s="146">
        <v>10.1</v>
      </c>
      <c r="J29" s="146">
        <v>9.1</v>
      </c>
      <c r="K29" s="146">
        <v>9.5</v>
      </c>
      <c r="L29" s="146">
        <v>10.1</v>
      </c>
      <c r="M29" s="146">
        <v>10.1</v>
      </c>
      <c r="N29" s="146">
        <v>10.1</v>
      </c>
      <c r="O29" s="131">
        <f t="shared" si="2"/>
        <v>10.1</v>
      </c>
      <c r="P29" s="127">
        <f t="shared" si="2"/>
        <v>10.1</v>
      </c>
      <c r="Q29" s="128">
        <f>P29</f>
        <v>10.1</v>
      </c>
    </row>
    <row r="30" spans="1:17" s="148" customFormat="1" ht="63" x14ac:dyDescent="0.2">
      <c r="A30" s="35" t="s">
        <v>152</v>
      </c>
      <c r="B30" s="122" t="s">
        <v>153</v>
      </c>
      <c r="C30" s="34" t="s">
        <v>105</v>
      </c>
      <c r="D30" s="34">
        <v>0.03</v>
      </c>
      <c r="E30" s="124" t="s">
        <v>107</v>
      </c>
      <c r="F30" s="131">
        <v>2.34</v>
      </c>
      <c r="G30" s="145">
        <v>1.1299999999999999</v>
      </c>
      <c r="H30" s="145">
        <v>1.57</v>
      </c>
      <c r="I30" s="145">
        <v>1.72</v>
      </c>
      <c r="J30" s="145">
        <v>1.86</v>
      </c>
      <c r="K30" s="145">
        <v>1.87</v>
      </c>
      <c r="L30" s="145">
        <v>1.9</v>
      </c>
      <c r="M30" s="145">
        <v>1.9</v>
      </c>
      <c r="N30" s="145">
        <v>1.9</v>
      </c>
      <c r="O30" s="131">
        <f t="shared" si="2"/>
        <v>1.9</v>
      </c>
      <c r="P30" s="127">
        <f t="shared" si="2"/>
        <v>1.9</v>
      </c>
      <c r="Q30" s="128">
        <f t="shared" si="2"/>
        <v>1.9</v>
      </c>
    </row>
    <row r="31" spans="1:17" ht="47.25" x14ac:dyDescent="0.25">
      <c r="A31" s="35" t="s">
        <v>154</v>
      </c>
      <c r="B31" s="122" t="s">
        <v>155</v>
      </c>
      <c r="C31" s="123" t="s">
        <v>105</v>
      </c>
      <c r="D31" s="34">
        <v>0.02</v>
      </c>
      <c r="E31" s="123" t="s">
        <v>110</v>
      </c>
      <c r="F31" s="12">
        <v>9.7799999999999994</v>
      </c>
      <c r="G31" s="144">
        <v>39</v>
      </c>
      <c r="H31" s="144">
        <v>41</v>
      </c>
      <c r="I31" s="146">
        <v>41</v>
      </c>
      <c r="J31" s="149">
        <v>42.5</v>
      </c>
      <c r="K31" s="149">
        <v>48.8</v>
      </c>
      <c r="L31" s="149">
        <v>50.2</v>
      </c>
      <c r="M31" s="149">
        <v>50.2</v>
      </c>
      <c r="N31" s="149">
        <v>50.2</v>
      </c>
      <c r="O31" s="131">
        <f t="shared" si="2"/>
        <v>50.2</v>
      </c>
      <c r="P31" s="127">
        <f t="shared" si="2"/>
        <v>50.2</v>
      </c>
      <c r="Q31" s="128">
        <f t="shared" si="2"/>
        <v>50.2</v>
      </c>
    </row>
    <row r="32" spans="1:17" ht="63" x14ac:dyDescent="0.25">
      <c r="A32" s="35" t="s">
        <v>156</v>
      </c>
      <c r="B32" s="122" t="s">
        <v>157</v>
      </c>
      <c r="C32" s="150" t="s">
        <v>105</v>
      </c>
      <c r="D32" s="34">
        <v>0.03</v>
      </c>
      <c r="E32" s="123" t="s">
        <v>110</v>
      </c>
      <c r="F32" s="150">
        <v>83</v>
      </c>
      <c r="G32" s="144">
        <v>0</v>
      </c>
      <c r="H32" s="144">
        <v>0</v>
      </c>
      <c r="I32" s="146">
        <v>0</v>
      </c>
      <c r="J32" s="146">
        <v>0</v>
      </c>
      <c r="K32" s="146">
        <v>0</v>
      </c>
      <c r="L32" s="146">
        <v>0</v>
      </c>
      <c r="M32" s="146">
        <v>0</v>
      </c>
      <c r="N32" s="146">
        <v>0</v>
      </c>
      <c r="O32" s="131">
        <f t="shared" si="2"/>
        <v>0</v>
      </c>
      <c r="P32" s="127">
        <f t="shared" si="2"/>
        <v>0</v>
      </c>
      <c r="Q32" s="128">
        <f t="shared" si="2"/>
        <v>0</v>
      </c>
    </row>
    <row r="33" spans="1:17" ht="47.25" x14ac:dyDescent="0.25">
      <c r="A33" s="35" t="s">
        <v>158</v>
      </c>
      <c r="B33" s="122" t="s">
        <v>159</v>
      </c>
      <c r="C33" s="150" t="s">
        <v>105</v>
      </c>
      <c r="D33" s="34">
        <v>0.02</v>
      </c>
      <c r="E33" s="123" t="s">
        <v>110</v>
      </c>
      <c r="F33" s="151">
        <v>35</v>
      </c>
      <c r="G33" s="152">
        <v>93.5</v>
      </c>
      <c r="H33" s="152">
        <v>93.5</v>
      </c>
      <c r="I33" s="149">
        <v>95</v>
      </c>
      <c r="J33" s="149">
        <v>100</v>
      </c>
      <c r="K33" s="149">
        <v>100</v>
      </c>
      <c r="L33" s="149">
        <v>100</v>
      </c>
      <c r="M33" s="149">
        <v>100</v>
      </c>
      <c r="N33" s="149">
        <v>100</v>
      </c>
      <c r="O33" s="131">
        <f t="shared" si="2"/>
        <v>100</v>
      </c>
      <c r="P33" s="127">
        <f t="shared" si="2"/>
        <v>100</v>
      </c>
      <c r="Q33" s="128">
        <f t="shared" si="2"/>
        <v>100</v>
      </c>
    </row>
    <row r="34" spans="1:17" ht="47.25" x14ac:dyDescent="0.25">
      <c r="A34" s="35" t="s">
        <v>160</v>
      </c>
      <c r="B34" s="122" t="s">
        <v>161</v>
      </c>
      <c r="C34" s="150" t="s">
        <v>105</v>
      </c>
      <c r="D34" s="34">
        <v>0.02</v>
      </c>
      <c r="E34" s="123" t="s">
        <v>110</v>
      </c>
      <c r="F34" s="151">
        <v>45</v>
      </c>
      <c r="G34" s="152">
        <v>92</v>
      </c>
      <c r="H34" s="152">
        <v>92</v>
      </c>
      <c r="I34" s="149">
        <v>92</v>
      </c>
      <c r="J34" s="149">
        <v>100</v>
      </c>
      <c r="K34" s="149">
        <v>100</v>
      </c>
      <c r="L34" s="149">
        <v>100</v>
      </c>
      <c r="M34" s="149">
        <v>100</v>
      </c>
      <c r="N34" s="149">
        <v>100</v>
      </c>
      <c r="O34" s="131">
        <f t="shared" si="2"/>
        <v>100</v>
      </c>
      <c r="P34" s="127">
        <f t="shared" si="2"/>
        <v>100</v>
      </c>
      <c r="Q34" s="128">
        <f t="shared" si="2"/>
        <v>100</v>
      </c>
    </row>
    <row r="35" spans="1:17" ht="31.5" x14ac:dyDescent="0.25">
      <c r="A35" s="35" t="s">
        <v>162</v>
      </c>
      <c r="B35" s="122" t="s">
        <v>163</v>
      </c>
      <c r="C35" s="150" t="s">
        <v>105</v>
      </c>
      <c r="D35" s="34">
        <v>0.02</v>
      </c>
      <c r="E35" s="123" t="s">
        <v>110</v>
      </c>
      <c r="F35" s="151">
        <v>1</v>
      </c>
      <c r="G35" s="145">
        <v>96</v>
      </c>
      <c r="H35" s="145">
        <v>96.5</v>
      </c>
      <c r="I35" s="146">
        <v>97</v>
      </c>
      <c r="J35" s="146">
        <v>97</v>
      </c>
      <c r="K35" s="146">
        <v>98</v>
      </c>
      <c r="L35" s="146">
        <v>98</v>
      </c>
      <c r="M35" s="146">
        <v>98</v>
      </c>
      <c r="N35" s="146">
        <v>98</v>
      </c>
      <c r="O35" s="131">
        <f t="shared" si="2"/>
        <v>98</v>
      </c>
      <c r="P35" s="127">
        <f t="shared" si="2"/>
        <v>98</v>
      </c>
      <c r="Q35" s="128">
        <f t="shared" si="2"/>
        <v>98</v>
      </c>
    </row>
    <row r="36" spans="1:17" ht="94.5" x14ac:dyDescent="0.25">
      <c r="A36" s="35" t="s">
        <v>164</v>
      </c>
      <c r="B36" s="122" t="s">
        <v>165</v>
      </c>
      <c r="C36" s="123" t="s">
        <v>105</v>
      </c>
      <c r="D36" s="34">
        <v>0.02</v>
      </c>
      <c r="E36" s="123" t="s">
        <v>110</v>
      </c>
      <c r="F36" s="123" t="s">
        <v>135</v>
      </c>
      <c r="G36" s="145">
        <v>2.5</v>
      </c>
      <c r="H36" s="145">
        <v>3</v>
      </c>
      <c r="I36" s="146">
        <v>3.4</v>
      </c>
      <c r="J36" s="146">
        <v>2.4</v>
      </c>
      <c r="K36" s="146">
        <v>2.8</v>
      </c>
      <c r="L36" s="146">
        <v>2.8</v>
      </c>
      <c r="M36" s="146">
        <v>2.8</v>
      </c>
      <c r="N36" s="146">
        <v>2.8</v>
      </c>
      <c r="O36" s="131">
        <f t="shared" si="2"/>
        <v>2.8</v>
      </c>
      <c r="P36" s="127">
        <f t="shared" si="2"/>
        <v>2.8</v>
      </c>
      <c r="Q36" s="128">
        <f t="shared" si="2"/>
        <v>2.8</v>
      </c>
    </row>
    <row r="37" spans="1:17" s="80" customFormat="1" x14ac:dyDescent="0.25">
      <c r="A37" s="133" t="s">
        <v>166</v>
      </c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1"/>
      <c r="P37" s="127"/>
      <c r="Q37" s="128">
        <f t="shared" si="2"/>
        <v>0</v>
      </c>
    </row>
    <row r="38" spans="1:17" ht="31.5" x14ac:dyDescent="0.25">
      <c r="A38" s="153" t="s">
        <v>167</v>
      </c>
      <c r="B38" s="122" t="s">
        <v>168</v>
      </c>
      <c r="C38" s="34" t="s">
        <v>105</v>
      </c>
      <c r="D38" s="34">
        <v>0.03</v>
      </c>
      <c r="E38" s="124" t="s">
        <v>110</v>
      </c>
      <c r="F38" s="123">
        <v>70</v>
      </c>
      <c r="G38" s="145">
        <v>75</v>
      </c>
      <c r="H38" s="145">
        <v>75</v>
      </c>
      <c r="I38" s="154">
        <v>75</v>
      </c>
      <c r="J38" s="154">
        <v>93</v>
      </c>
      <c r="K38" s="154">
        <v>93</v>
      </c>
      <c r="L38" s="154">
        <v>75</v>
      </c>
      <c r="M38" s="154">
        <v>75</v>
      </c>
      <c r="N38" s="154">
        <v>75</v>
      </c>
      <c r="O38" s="131">
        <f t="shared" si="2"/>
        <v>75</v>
      </c>
      <c r="P38" s="127">
        <f t="shared" si="2"/>
        <v>75</v>
      </c>
      <c r="Q38" s="128">
        <f t="shared" si="2"/>
        <v>75</v>
      </c>
    </row>
    <row r="39" spans="1:17" ht="31.5" x14ac:dyDescent="0.25">
      <c r="A39" s="153" t="s">
        <v>169</v>
      </c>
      <c r="B39" s="155" t="s">
        <v>170</v>
      </c>
      <c r="C39" s="36" t="s">
        <v>105</v>
      </c>
      <c r="D39" s="36">
        <v>0.03</v>
      </c>
      <c r="E39" s="156" t="s">
        <v>110</v>
      </c>
      <c r="F39" s="130"/>
      <c r="G39" s="152">
        <v>67</v>
      </c>
      <c r="H39" s="152">
        <v>70</v>
      </c>
      <c r="I39" s="126">
        <v>72</v>
      </c>
      <c r="J39" s="126">
        <v>72</v>
      </c>
      <c r="K39" s="126">
        <v>72</v>
      </c>
      <c r="L39" s="126">
        <v>72</v>
      </c>
      <c r="M39" s="126">
        <v>72</v>
      </c>
      <c r="N39" s="126">
        <v>72</v>
      </c>
      <c r="O39" s="131">
        <f t="shared" si="2"/>
        <v>72</v>
      </c>
      <c r="P39" s="127">
        <f t="shared" si="2"/>
        <v>72</v>
      </c>
      <c r="Q39" s="128">
        <f t="shared" si="2"/>
        <v>72</v>
      </c>
    </row>
    <row r="40" spans="1:17" ht="31.5" x14ac:dyDescent="0.25">
      <c r="A40" s="153" t="s">
        <v>171</v>
      </c>
      <c r="B40" s="155" t="s">
        <v>172</v>
      </c>
      <c r="C40" s="34" t="s">
        <v>105</v>
      </c>
      <c r="D40" s="34">
        <v>0.03</v>
      </c>
      <c r="E40" s="124" t="s">
        <v>110</v>
      </c>
      <c r="F40" s="123" t="s">
        <v>135</v>
      </c>
      <c r="G40" s="145">
        <v>15</v>
      </c>
      <c r="H40" s="145">
        <v>15</v>
      </c>
      <c r="I40" s="154">
        <v>16.5</v>
      </c>
      <c r="J40" s="154">
        <v>18.3</v>
      </c>
      <c r="K40" s="154">
        <v>19.100000000000001</v>
      </c>
      <c r="L40" s="154">
        <v>19.5</v>
      </c>
      <c r="M40" s="154">
        <v>19.5</v>
      </c>
      <c r="N40" s="154">
        <v>19.5</v>
      </c>
      <c r="O40" s="131">
        <f t="shared" si="2"/>
        <v>19.5</v>
      </c>
      <c r="P40" s="127">
        <f t="shared" si="2"/>
        <v>19.5</v>
      </c>
      <c r="Q40" s="128">
        <f t="shared" si="2"/>
        <v>19.5</v>
      </c>
    </row>
    <row r="41" spans="1:17" s="80" customFormat="1" x14ac:dyDescent="0.25">
      <c r="A41" s="133" t="s">
        <v>173</v>
      </c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1">
        <f t="shared" si="2"/>
        <v>0</v>
      </c>
      <c r="P41" s="127">
        <f t="shared" si="2"/>
        <v>0</v>
      </c>
      <c r="Q41" s="128">
        <f t="shared" si="2"/>
        <v>0</v>
      </c>
    </row>
    <row r="42" spans="1:17" ht="63" x14ac:dyDescent="0.25">
      <c r="A42" s="153" t="s">
        <v>174</v>
      </c>
      <c r="B42" s="155" t="s">
        <v>175</v>
      </c>
      <c r="C42" s="34" t="s">
        <v>105</v>
      </c>
      <c r="D42" s="34">
        <v>0.03</v>
      </c>
      <c r="E42" s="124" t="s">
        <v>110</v>
      </c>
      <c r="F42" s="123">
        <v>78.400000000000006</v>
      </c>
      <c r="G42" s="154">
        <v>80.2</v>
      </c>
      <c r="H42" s="154">
        <v>80.400000000000006</v>
      </c>
      <c r="I42" s="154">
        <v>80.5</v>
      </c>
      <c r="J42" s="154">
        <v>80.5</v>
      </c>
      <c r="K42" s="154">
        <v>80.5</v>
      </c>
      <c r="L42" s="154">
        <v>80.5</v>
      </c>
      <c r="M42" s="154">
        <v>80.5</v>
      </c>
      <c r="N42" s="154">
        <v>80.5</v>
      </c>
      <c r="O42" s="131">
        <f t="shared" si="2"/>
        <v>80.5</v>
      </c>
      <c r="P42" s="127">
        <f t="shared" si="2"/>
        <v>80.5</v>
      </c>
      <c r="Q42" s="128">
        <f t="shared" si="2"/>
        <v>80.5</v>
      </c>
    </row>
    <row r="43" spans="1:17" s="80" customFormat="1" x14ac:dyDescent="0.25">
      <c r="A43" s="133" t="s">
        <v>176</v>
      </c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4"/>
      <c r="O43" s="135"/>
      <c r="P43" s="136"/>
      <c r="Q43" s="137"/>
    </row>
    <row r="44" spans="1:17" s="80" customFormat="1" x14ac:dyDescent="0.25">
      <c r="A44" s="133" t="s">
        <v>177</v>
      </c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4"/>
      <c r="O44" s="135"/>
      <c r="P44" s="136"/>
      <c r="Q44" s="137"/>
    </row>
    <row r="45" spans="1:17" s="80" customFormat="1" x14ac:dyDescent="0.25">
      <c r="A45" s="133" t="s">
        <v>178</v>
      </c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4"/>
      <c r="O45" s="135"/>
      <c r="P45" s="136"/>
      <c r="Q45" s="137"/>
    </row>
    <row r="46" spans="1:17" ht="31.5" x14ac:dyDescent="0.25">
      <c r="A46" s="35" t="s">
        <v>179</v>
      </c>
      <c r="B46" s="122" t="s">
        <v>180</v>
      </c>
      <c r="C46" s="150" t="s">
        <v>105</v>
      </c>
      <c r="D46" s="34">
        <v>0.04</v>
      </c>
      <c r="E46" s="123" t="s">
        <v>110</v>
      </c>
      <c r="F46" s="131">
        <v>97.09</v>
      </c>
      <c r="G46" s="124">
        <v>82.9</v>
      </c>
      <c r="H46" s="124">
        <v>82.9</v>
      </c>
      <c r="I46" s="124">
        <v>93.2</v>
      </c>
      <c r="J46" s="124">
        <v>93.7</v>
      </c>
      <c r="K46" s="124">
        <v>94</v>
      </c>
      <c r="L46" s="124">
        <v>94</v>
      </c>
      <c r="M46" s="124">
        <v>94</v>
      </c>
      <c r="N46" s="124">
        <v>94</v>
      </c>
      <c r="O46" s="157">
        <v>94</v>
      </c>
      <c r="P46" s="158">
        <f>O46</f>
        <v>94</v>
      </c>
      <c r="Q46" s="128">
        <f t="shared" ref="Q46:Q89" si="3">P46</f>
        <v>94</v>
      </c>
    </row>
    <row r="47" spans="1:17" s="80" customFormat="1" x14ac:dyDescent="0.25">
      <c r="A47" s="133" t="s">
        <v>181</v>
      </c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59"/>
      <c r="P47" s="160"/>
      <c r="Q47" s="128">
        <f t="shared" si="3"/>
        <v>0</v>
      </c>
    </row>
    <row r="48" spans="1:17" ht="31.5" x14ac:dyDescent="0.25">
      <c r="A48" s="35" t="s">
        <v>182</v>
      </c>
      <c r="B48" s="161" t="s">
        <v>183</v>
      </c>
      <c r="C48" s="150" t="s">
        <v>105</v>
      </c>
      <c r="D48" s="34">
        <v>0.04</v>
      </c>
      <c r="E48" s="124" t="s">
        <v>110</v>
      </c>
      <c r="F48" s="162">
        <v>134</v>
      </c>
      <c r="G48" s="124">
        <v>73</v>
      </c>
      <c r="H48" s="124">
        <v>74</v>
      </c>
      <c r="I48" s="124">
        <v>89</v>
      </c>
      <c r="J48" s="124">
        <v>90</v>
      </c>
      <c r="K48" s="124">
        <v>92</v>
      </c>
      <c r="L48" s="124">
        <v>95</v>
      </c>
      <c r="M48" s="124">
        <v>95</v>
      </c>
      <c r="N48" s="124">
        <v>95</v>
      </c>
      <c r="O48" s="157">
        <v>95</v>
      </c>
      <c r="P48" s="158">
        <f>O48</f>
        <v>95</v>
      </c>
      <c r="Q48" s="128">
        <f t="shared" si="3"/>
        <v>95</v>
      </c>
    </row>
    <row r="49" spans="1:17" ht="47.25" x14ac:dyDescent="0.25">
      <c r="A49" s="35" t="s">
        <v>184</v>
      </c>
      <c r="B49" s="161" t="s">
        <v>185</v>
      </c>
      <c r="C49" s="150" t="s">
        <v>105</v>
      </c>
      <c r="D49" s="34">
        <v>0.04</v>
      </c>
      <c r="E49" s="123" t="s">
        <v>110</v>
      </c>
      <c r="F49" s="123">
        <v>15.6</v>
      </c>
      <c r="G49" s="124">
        <v>70</v>
      </c>
      <c r="H49" s="124">
        <v>70</v>
      </c>
      <c r="I49" s="124">
        <v>95</v>
      </c>
      <c r="J49" s="124">
        <v>97</v>
      </c>
      <c r="K49" s="124">
        <v>97</v>
      </c>
      <c r="L49" s="124">
        <v>98</v>
      </c>
      <c r="M49" s="124">
        <v>98</v>
      </c>
      <c r="N49" s="124">
        <v>98</v>
      </c>
      <c r="O49" s="157">
        <v>98</v>
      </c>
      <c r="P49" s="158">
        <f>O49</f>
        <v>98</v>
      </c>
      <c r="Q49" s="128">
        <f t="shared" si="3"/>
        <v>98</v>
      </c>
    </row>
    <row r="50" spans="1:17" s="80" customFormat="1" x14ac:dyDescent="0.25">
      <c r="A50" s="133" t="s">
        <v>186</v>
      </c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4"/>
      <c r="O50" s="135"/>
      <c r="P50" s="136"/>
      <c r="Q50" s="137"/>
    </row>
    <row r="51" spans="1:17" s="80" customFormat="1" x14ac:dyDescent="0.25">
      <c r="A51" s="133" t="s">
        <v>187</v>
      </c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4"/>
      <c r="O51" s="135"/>
      <c r="P51" s="136"/>
      <c r="Q51" s="137"/>
    </row>
    <row r="52" spans="1:17" s="80" customFormat="1" x14ac:dyDescent="0.25">
      <c r="A52" s="133" t="s">
        <v>188</v>
      </c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4"/>
      <c r="O52" s="135"/>
      <c r="P52" s="136"/>
      <c r="Q52" s="137"/>
    </row>
    <row r="53" spans="1:17" ht="31.5" x14ac:dyDescent="0.25">
      <c r="A53" s="163" t="s">
        <v>189</v>
      </c>
      <c r="B53" s="164" t="s">
        <v>190</v>
      </c>
      <c r="C53" s="165" t="s">
        <v>191</v>
      </c>
      <c r="D53" s="166">
        <v>0.03</v>
      </c>
      <c r="E53" s="167" t="s">
        <v>21</v>
      </c>
      <c r="F53" s="168"/>
      <c r="G53" s="169">
        <v>1460</v>
      </c>
      <c r="H53" s="169">
        <v>1470</v>
      </c>
      <c r="I53" s="165">
        <v>1470</v>
      </c>
      <c r="J53" s="165">
        <v>2863</v>
      </c>
      <c r="K53" s="165">
        <v>3174</v>
      </c>
      <c r="L53" s="165">
        <v>3205</v>
      </c>
      <c r="M53" s="170">
        <v>3199</v>
      </c>
      <c r="N53" s="170">
        <v>3378</v>
      </c>
      <c r="O53" s="170">
        <v>3395</v>
      </c>
      <c r="P53" s="171">
        <f>O53</f>
        <v>3395</v>
      </c>
      <c r="Q53" s="128">
        <f t="shared" si="3"/>
        <v>3395</v>
      </c>
    </row>
    <row r="54" spans="1:17" ht="31.5" x14ac:dyDescent="0.25">
      <c r="A54" s="165" t="s">
        <v>192</v>
      </c>
      <c r="B54" s="164" t="s">
        <v>193</v>
      </c>
      <c r="C54" s="165" t="s">
        <v>191</v>
      </c>
      <c r="D54" s="165">
        <v>0.01</v>
      </c>
      <c r="E54" s="167" t="s">
        <v>21</v>
      </c>
      <c r="F54" s="168"/>
      <c r="G54" s="169">
        <v>28870</v>
      </c>
      <c r="H54" s="169">
        <v>29600</v>
      </c>
      <c r="I54" s="165">
        <v>30690</v>
      </c>
      <c r="J54" s="165">
        <v>32180</v>
      </c>
      <c r="K54" s="165">
        <v>33390</v>
      </c>
      <c r="L54" s="165">
        <v>38561</v>
      </c>
      <c r="M54" s="172">
        <v>38575</v>
      </c>
      <c r="N54" s="172">
        <v>42480</v>
      </c>
      <c r="O54" s="172">
        <f>N54</f>
        <v>42480</v>
      </c>
      <c r="P54" s="171">
        <f t="shared" ref="P54:P70" si="4">O54</f>
        <v>42480</v>
      </c>
      <c r="Q54" s="128">
        <f t="shared" si="3"/>
        <v>42480</v>
      </c>
    </row>
    <row r="55" spans="1:17" ht="63" x14ac:dyDescent="0.25">
      <c r="A55" s="163" t="s">
        <v>194</v>
      </c>
      <c r="B55" s="164" t="s">
        <v>195</v>
      </c>
      <c r="C55" s="165" t="s">
        <v>191</v>
      </c>
      <c r="D55" s="165">
        <v>0.01</v>
      </c>
      <c r="E55" s="167" t="s">
        <v>21</v>
      </c>
      <c r="F55" s="168"/>
      <c r="G55" s="169">
        <v>17972</v>
      </c>
      <c r="H55" s="169">
        <v>18638</v>
      </c>
      <c r="I55" s="165">
        <v>19328</v>
      </c>
      <c r="J55" s="165">
        <v>21911</v>
      </c>
      <c r="K55" s="165">
        <v>24405</v>
      </c>
      <c r="L55" s="165">
        <v>28687</v>
      </c>
      <c r="M55" s="172">
        <v>32078</v>
      </c>
      <c r="N55" s="172">
        <v>33427</v>
      </c>
      <c r="O55" s="172">
        <f>N55</f>
        <v>33427</v>
      </c>
      <c r="P55" s="171">
        <f t="shared" si="4"/>
        <v>33427</v>
      </c>
      <c r="Q55" s="128">
        <f t="shared" si="3"/>
        <v>33427</v>
      </c>
    </row>
    <row r="56" spans="1:17" ht="31.5" x14ac:dyDescent="0.25">
      <c r="A56" s="35" t="s">
        <v>196</v>
      </c>
      <c r="B56" s="161" t="s">
        <v>197</v>
      </c>
      <c r="C56" s="123" t="s">
        <v>198</v>
      </c>
      <c r="D56" s="123">
        <v>0.02</v>
      </c>
      <c r="E56" s="173" t="s">
        <v>110</v>
      </c>
      <c r="F56" s="125"/>
      <c r="G56" s="11">
        <v>25.02</v>
      </c>
      <c r="H56" s="11">
        <v>25</v>
      </c>
      <c r="I56" s="123">
        <v>25</v>
      </c>
      <c r="J56" s="123">
        <v>23.9</v>
      </c>
      <c r="K56" s="123">
        <v>24</v>
      </c>
      <c r="L56" s="123">
        <v>24</v>
      </c>
      <c r="M56" s="123">
        <v>24</v>
      </c>
      <c r="N56" s="123">
        <v>25</v>
      </c>
      <c r="O56" s="123">
        <v>25</v>
      </c>
      <c r="P56" s="174">
        <v>25</v>
      </c>
      <c r="Q56" s="128">
        <f t="shared" si="3"/>
        <v>25</v>
      </c>
    </row>
    <row r="57" spans="1:17" ht="31.5" x14ac:dyDescent="0.25">
      <c r="A57" s="35" t="s">
        <v>199</v>
      </c>
      <c r="B57" s="161" t="s">
        <v>200</v>
      </c>
      <c r="C57" s="123" t="s">
        <v>198</v>
      </c>
      <c r="D57" s="123">
        <v>0.02</v>
      </c>
      <c r="E57" s="173" t="s">
        <v>110</v>
      </c>
      <c r="F57" s="125"/>
      <c r="G57" s="11">
        <v>18.82</v>
      </c>
      <c r="H57" s="11">
        <v>18.82</v>
      </c>
      <c r="I57" s="123">
        <v>18.8</v>
      </c>
      <c r="J57" s="123">
        <v>17</v>
      </c>
      <c r="K57" s="123">
        <v>17</v>
      </c>
      <c r="L57" s="123">
        <v>17</v>
      </c>
      <c r="M57" s="123">
        <v>17</v>
      </c>
      <c r="N57" s="123">
        <v>17</v>
      </c>
      <c r="O57" s="123">
        <v>17</v>
      </c>
      <c r="P57" s="174">
        <f t="shared" si="4"/>
        <v>17</v>
      </c>
      <c r="Q57" s="128">
        <f t="shared" si="3"/>
        <v>17</v>
      </c>
    </row>
    <row r="58" spans="1:17" ht="78.75" x14ac:dyDescent="0.25">
      <c r="A58" s="123" t="s">
        <v>201</v>
      </c>
      <c r="B58" s="161" t="s">
        <v>202</v>
      </c>
      <c r="C58" s="123" t="s">
        <v>203</v>
      </c>
      <c r="D58" s="123">
        <v>0.02</v>
      </c>
      <c r="E58" s="173" t="s">
        <v>110</v>
      </c>
      <c r="F58" s="125"/>
      <c r="G58" s="11">
        <v>0.7</v>
      </c>
      <c r="H58" s="11">
        <v>0.7</v>
      </c>
      <c r="I58" s="123">
        <v>0.7</v>
      </c>
      <c r="J58" s="123">
        <v>0.7</v>
      </c>
      <c r="K58" s="123">
        <v>0.7</v>
      </c>
      <c r="L58" s="123">
        <v>0.7</v>
      </c>
      <c r="M58" s="123">
        <v>0.7</v>
      </c>
      <c r="N58" s="123">
        <v>0.5</v>
      </c>
      <c r="O58" s="123">
        <v>0.5</v>
      </c>
      <c r="P58" s="140">
        <v>0.5</v>
      </c>
      <c r="Q58" s="128">
        <f t="shared" si="3"/>
        <v>0.5</v>
      </c>
    </row>
    <row r="59" spans="1:17" ht="31.5" x14ac:dyDescent="0.25">
      <c r="A59" s="123" t="s">
        <v>204</v>
      </c>
      <c r="B59" s="161" t="s">
        <v>205</v>
      </c>
      <c r="C59" s="123" t="s">
        <v>140</v>
      </c>
      <c r="D59" s="123">
        <v>0.03</v>
      </c>
      <c r="E59" s="173" t="s">
        <v>21</v>
      </c>
      <c r="F59" s="125"/>
      <c r="G59" s="123">
        <v>18</v>
      </c>
      <c r="H59" s="123">
        <v>18</v>
      </c>
      <c r="I59" s="123">
        <v>18</v>
      </c>
      <c r="J59" s="123">
        <v>14</v>
      </c>
      <c r="K59" s="123">
        <v>14</v>
      </c>
      <c r="L59" s="123">
        <v>14</v>
      </c>
      <c r="M59" s="123">
        <v>14</v>
      </c>
      <c r="N59" s="123">
        <v>14</v>
      </c>
      <c r="O59" s="123">
        <v>14</v>
      </c>
      <c r="P59" s="174">
        <f t="shared" si="4"/>
        <v>14</v>
      </c>
      <c r="Q59" s="128">
        <f t="shared" si="3"/>
        <v>14</v>
      </c>
    </row>
    <row r="60" spans="1:17" ht="66" customHeight="1" x14ac:dyDescent="0.25">
      <c r="A60" s="123" t="s">
        <v>206</v>
      </c>
      <c r="B60" s="161" t="s">
        <v>207</v>
      </c>
      <c r="C60" s="123" t="s">
        <v>208</v>
      </c>
      <c r="D60" s="123">
        <v>0.01</v>
      </c>
      <c r="E60" s="173" t="s">
        <v>209</v>
      </c>
      <c r="F60" s="125"/>
      <c r="G60" s="123">
        <v>5</v>
      </c>
      <c r="H60" s="123">
        <v>5</v>
      </c>
      <c r="I60" s="123">
        <v>5</v>
      </c>
      <c r="J60" s="123">
        <v>5</v>
      </c>
      <c r="K60" s="123">
        <v>5</v>
      </c>
      <c r="L60" s="123">
        <v>5</v>
      </c>
      <c r="M60" s="123">
        <v>5</v>
      </c>
      <c r="N60" s="123">
        <v>5</v>
      </c>
      <c r="O60" s="123">
        <v>5</v>
      </c>
      <c r="P60" s="174">
        <f t="shared" si="4"/>
        <v>5</v>
      </c>
      <c r="Q60" s="128">
        <f t="shared" si="3"/>
        <v>5</v>
      </c>
    </row>
    <row r="61" spans="1:17" ht="47.25" x14ac:dyDescent="0.25">
      <c r="A61" s="123" t="s">
        <v>210</v>
      </c>
      <c r="B61" s="161" t="s">
        <v>211</v>
      </c>
      <c r="C61" s="123" t="s">
        <v>208</v>
      </c>
      <c r="D61" s="123">
        <v>0.01</v>
      </c>
      <c r="E61" s="173" t="s">
        <v>209</v>
      </c>
      <c r="F61" s="125"/>
      <c r="G61" s="34">
        <v>5</v>
      </c>
      <c r="H61" s="34">
        <v>5</v>
      </c>
      <c r="I61" s="34">
        <v>5</v>
      </c>
      <c r="J61" s="34">
        <v>5</v>
      </c>
      <c r="K61" s="34">
        <v>5</v>
      </c>
      <c r="L61" s="34">
        <v>5</v>
      </c>
      <c r="M61" s="34">
        <v>5</v>
      </c>
      <c r="N61" s="34">
        <v>5</v>
      </c>
      <c r="O61" s="34">
        <v>5</v>
      </c>
      <c r="P61" s="174">
        <f t="shared" si="4"/>
        <v>5</v>
      </c>
      <c r="Q61" s="128">
        <f t="shared" si="3"/>
        <v>5</v>
      </c>
    </row>
    <row r="62" spans="1:17" ht="126" x14ac:dyDescent="0.25">
      <c r="A62" s="123" t="s">
        <v>212</v>
      </c>
      <c r="B62" s="161" t="s">
        <v>213</v>
      </c>
      <c r="C62" s="123" t="s">
        <v>208</v>
      </c>
      <c r="D62" s="123">
        <v>0.01</v>
      </c>
      <c r="E62" s="173" t="s">
        <v>209</v>
      </c>
      <c r="F62" s="125"/>
      <c r="G62" s="34">
        <v>5</v>
      </c>
      <c r="H62" s="34">
        <v>5</v>
      </c>
      <c r="I62" s="34">
        <v>5</v>
      </c>
      <c r="J62" s="34">
        <v>5</v>
      </c>
      <c r="K62" s="34">
        <v>5</v>
      </c>
      <c r="L62" s="34">
        <v>5</v>
      </c>
      <c r="M62" s="34">
        <v>5</v>
      </c>
      <c r="N62" s="34">
        <v>5</v>
      </c>
      <c r="O62" s="34">
        <v>5</v>
      </c>
      <c r="P62" s="174">
        <f t="shared" si="4"/>
        <v>5</v>
      </c>
      <c r="Q62" s="128">
        <f t="shared" si="3"/>
        <v>5</v>
      </c>
    </row>
    <row r="63" spans="1:17" ht="94.5" x14ac:dyDescent="0.25">
      <c r="A63" s="123" t="s">
        <v>214</v>
      </c>
      <c r="B63" s="161" t="s">
        <v>215</v>
      </c>
      <c r="C63" s="123" t="s">
        <v>208</v>
      </c>
      <c r="D63" s="123">
        <v>0.01</v>
      </c>
      <c r="E63" s="173" t="s">
        <v>209</v>
      </c>
      <c r="F63" s="125"/>
      <c r="G63" s="34">
        <v>5</v>
      </c>
      <c r="H63" s="34">
        <v>5</v>
      </c>
      <c r="I63" s="34">
        <v>5</v>
      </c>
      <c r="J63" s="34">
        <v>5</v>
      </c>
      <c r="K63" s="34">
        <v>5</v>
      </c>
      <c r="L63" s="34">
        <v>5</v>
      </c>
      <c r="M63" s="34">
        <v>5</v>
      </c>
      <c r="N63" s="34">
        <v>5</v>
      </c>
      <c r="O63" s="34">
        <v>5</v>
      </c>
      <c r="P63" s="174">
        <f t="shared" si="4"/>
        <v>5</v>
      </c>
      <c r="Q63" s="128">
        <f t="shared" si="3"/>
        <v>5</v>
      </c>
    </row>
    <row r="64" spans="1:17" ht="47.25" x14ac:dyDescent="0.25">
      <c r="A64" s="123" t="s">
        <v>216</v>
      </c>
      <c r="B64" s="175" t="s">
        <v>217</v>
      </c>
      <c r="C64" s="123" t="s">
        <v>208</v>
      </c>
      <c r="D64" s="123">
        <v>0.01</v>
      </c>
      <c r="E64" s="173" t="s">
        <v>209</v>
      </c>
      <c r="F64" s="125"/>
      <c r="G64" s="34">
        <v>5</v>
      </c>
      <c r="H64" s="34">
        <v>5</v>
      </c>
      <c r="I64" s="34">
        <v>5</v>
      </c>
      <c r="J64" s="34">
        <v>5</v>
      </c>
      <c r="K64" s="34">
        <v>5</v>
      </c>
      <c r="L64" s="34">
        <v>5</v>
      </c>
      <c r="M64" s="34">
        <v>5</v>
      </c>
      <c r="N64" s="34">
        <v>5</v>
      </c>
      <c r="O64" s="34">
        <v>5</v>
      </c>
      <c r="P64" s="174">
        <f t="shared" si="4"/>
        <v>5</v>
      </c>
      <c r="Q64" s="128">
        <f t="shared" si="3"/>
        <v>5</v>
      </c>
    </row>
    <row r="65" spans="1:17" ht="47.25" x14ac:dyDescent="0.25">
      <c r="A65" s="123" t="s">
        <v>218</v>
      </c>
      <c r="B65" s="175" t="s">
        <v>219</v>
      </c>
      <c r="C65" s="123" t="s">
        <v>208</v>
      </c>
      <c r="D65" s="123">
        <v>0.01</v>
      </c>
      <c r="E65" s="173" t="s">
        <v>209</v>
      </c>
      <c r="F65" s="125"/>
      <c r="G65" s="34">
        <v>5</v>
      </c>
      <c r="H65" s="34">
        <v>5</v>
      </c>
      <c r="I65" s="34">
        <v>5</v>
      </c>
      <c r="J65" s="34">
        <v>5</v>
      </c>
      <c r="K65" s="34">
        <v>5</v>
      </c>
      <c r="L65" s="34">
        <v>5</v>
      </c>
      <c r="M65" s="34">
        <v>5</v>
      </c>
      <c r="N65" s="34">
        <v>5</v>
      </c>
      <c r="O65" s="34">
        <v>5</v>
      </c>
      <c r="P65" s="174">
        <f t="shared" si="4"/>
        <v>5</v>
      </c>
      <c r="Q65" s="128">
        <f t="shared" si="3"/>
        <v>5</v>
      </c>
    </row>
    <row r="66" spans="1:17" ht="47.25" x14ac:dyDescent="0.25">
      <c r="A66" s="35" t="s">
        <v>220</v>
      </c>
      <c r="B66" s="161" t="s">
        <v>221</v>
      </c>
      <c r="C66" s="123" t="s">
        <v>208</v>
      </c>
      <c r="D66" s="123">
        <v>0.01</v>
      </c>
      <c r="E66" s="173" t="s">
        <v>209</v>
      </c>
      <c r="F66" s="125"/>
      <c r="G66" s="34">
        <v>5</v>
      </c>
      <c r="H66" s="34">
        <v>5</v>
      </c>
      <c r="I66" s="34">
        <v>5</v>
      </c>
      <c r="J66" s="34">
        <v>5</v>
      </c>
      <c r="K66" s="34">
        <v>5</v>
      </c>
      <c r="L66" s="34">
        <v>5</v>
      </c>
      <c r="M66" s="34">
        <v>5</v>
      </c>
      <c r="N66" s="34">
        <v>5</v>
      </c>
      <c r="O66" s="34">
        <v>5</v>
      </c>
      <c r="P66" s="174">
        <f t="shared" si="4"/>
        <v>5</v>
      </c>
      <c r="Q66" s="128">
        <f t="shared" si="3"/>
        <v>5</v>
      </c>
    </row>
    <row r="67" spans="1:17" ht="47.25" x14ac:dyDescent="0.25">
      <c r="A67" s="35" t="s">
        <v>222</v>
      </c>
      <c r="B67" s="161" t="s">
        <v>223</v>
      </c>
      <c r="C67" s="123" t="s">
        <v>208</v>
      </c>
      <c r="D67" s="123">
        <v>0.01</v>
      </c>
      <c r="E67" s="173" t="s">
        <v>209</v>
      </c>
      <c r="F67" s="125"/>
      <c r="G67" s="34">
        <v>5</v>
      </c>
      <c r="H67" s="34">
        <v>5</v>
      </c>
      <c r="I67" s="34">
        <v>5</v>
      </c>
      <c r="J67" s="34">
        <v>5</v>
      </c>
      <c r="K67" s="34">
        <v>5</v>
      </c>
      <c r="L67" s="34">
        <v>5</v>
      </c>
      <c r="M67" s="34">
        <v>5</v>
      </c>
      <c r="N67" s="34">
        <v>5</v>
      </c>
      <c r="O67" s="34">
        <v>5</v>
      </c>
      <c r="P67" s="174">
        <f t="shared" si="4"/>
        <v>5</v>
      </c>
      <c r="Q67" s="128">
        <f t="shared" si="3"/>
        <v>5</v>
      </c>
    </row>
    <row r="68" spans="1:17" ht="47.25" x14ac:dyDescent="0.25">
      <c r="A68" s="35" t="s">
        <v>224</v>
      </c>
      <c r="B68" s="161" t="s">
        <v>225</v>
      </c>
      <c r="C68" s="123" t="s">
        <v>208</v>
      </c>
      <c r="D68" s="123">
        <v>0.01</v>
      </c>
      <c r="E68" s="173" t="s">
        <v>209</v>
      </c>
      <c r="F68" s="125"/>
      <c r="G68" s="34">
        <v>5</v>
      </c>
      <c r="H68" s="34">
        <v>5</v>
      </c>
      <c r="I68" s="34">
        <v>5</v>
      </c>
      <c r="J68" s="34">
        <v>5</v>
      </c>
      <c r="K68" s="34">
        <v>5</v>
      </c>
      <c r="L68" s="34">
        <v>5</v>
      </c>
      <c r="M68" s="34">
        <v>5</v>
      </c>
      <c r="N68" s="34">
        <v>5</v>
      </c>
      <c r="O68" s="34">
        <v>5</v>
      </c>
      <c r="P68" s="174">
        <f t="shared" si="4"/>
        <v>5</v>
      </c>
      <c r="Q68" s="128">
        <f t="shared" si="3"/>
        <v>5</v>
      </c>
    </row>
    <row r="69" spans="1:17" ht="47.25" x14ac:dyDescent="0.25">
      <c r="A69" s="35" t="s">
        <v>226</v>
      </c>
      <c r="B69" s="161" t="s">
        <v>227</v>
      </c>
      <c r="C69" s="123" t="s">
        <v>208</v>
      </c>
      <c r="D69" s="123">
        <v>0.01</v>
      </c>
      <c r="E69" s="173" t="s">
        <v>209</v>
      </c>
      <c r="F69" s="125"/>
      <c r="G69" s="34">
        <v>5</v>
      </c>
      <c r="H69" s="34">
        <v>5</v>
      </c>
      <c r="I69" s="34">
        <v>5</v>
      </c>
      <c r="J69" s="34">
        <v>5</v>
      </c>
      <c r="K69" s="34">
        <v>5</v>
      </c>
      <c r="L69" s="34">
        <v>5</v>
      </c>
      <c r="M69" s="34">
        <v>5</v>
      </c>
      <c r="N69" s="34">
        <v>5</v>
      </c>
      <c r="O69" s="34">
        <v>5</v>
      </c>
      <c r="P69" s="174">
        <f t="shared" si="4"/>
        <v>5</v>
      </c>
      <c r="Q69" s="128">
        <f t="shared" si="3"/>
        <v>5</v>
      </c>
    </row>
    <row r="70" spans="1:17" ht="47.25" x14ac:dyDescent="0.25">
      <c r="A70" s="35" t="s">
        <v>228</v>
      </c>
      <c r="B70" s="161" t="s">
        <v>229</v>
      </c>
      <c r="C70" s="123" t="s">
        <v>208</v>
      </c>
      <c r="D70" s="123">
        <v>0.01</v>
      </c>
      <c r="E70" s="173" t="s">
        <v>209</v>
      </c>
      <c r="F70" s="125"/>
      <c r="G70" s="34">
        <v>5</v>
      </c>
      <c r="H70" s="34">
        <v>5</v>
      </c>
      <c r="I70" s="34">
        <v>5</v>
      </c>
      <c r="J70" s="34">
        <v>5</v>
      </c>
      <c r="K70" s="34">
        <v>5</v>
      </c>
      <c r="L70" s="34">
        <v>5</v>
      </c>
      <c r="M70" s="34">
        <v>5</v>
      </c>
      <c r="N70" s="34">
        <v>5</v>
      </c>
      <c r="O70" s="34">
        <v>5</v>
      </c>
      <c r="P70" s="174">
        <f t="shared" si="4"/>
        <v>5</v>
      </c>
      <c r="Q70" s="128">
        <f t="shared" si="3"/>
        <v>5</v>
      </c>
    </row>
    <row r="71" spans="1:17" s="80" customFormat="1" x14ac:dyDescent="0.25">
      <c r="A71" s="133" t="s">
        <v>230</v>
      </c>
      <c r="B71" s="133"/>
      <c r="C71" s="133"/>
      <c r="D71" s="133"/>
      <c r="E71" s="133"/>
      <c r="F71" s="133"/>
      <c r="G71" s="133"/>
      <c r="H71" s="133"/>
      <c r="I71" s="133"/>
      <c r="J71" s="133"/>
      <c r="K71" s="133"/>
      <c r="L71" s="133"/>
      <c r="M71" s="133"/>
      <c r="N71" s="133"/>
      <c r="O71" s="159"/>
      <c r="Q71" s="137"/>
    </row>
    <row r="72" spans="1:17" s="178" customFormat="1" ht="47.25" x14ac:dyDescent="0.25">
      <c r="A72" s="176" t="s">
        <v>231</v>
      </c>
      <c r="B72" s="177" t="s">
        <v>232</v>
      </c>
      <c r="C72" s="36" t="s">
        <v>233</v>
      </c>
      <c r="D72" s="123">
        <v>0.03</v>
      </c>
      <c r="E72" s="123" t="s">
        <v>110</v>
      </c>
      <c r="F72" s="176"/>
      <c r="G72" s="12">
        <v>70</v>
      </c>
      <c r="H72" s="12">
        <v>70</v>
      </c>
      <c r="I72" s="12">
        <v>71</v>
      </c>
      <c r="J72" s="12">
        <v>71</v>
      </c>
      <c r="K72" s="12">
        <v>71</v>
      </c>
      <c r="L72" s="123">
        <v>71</v>
      </c>
      <c r="M72" s="123">
        <v>71</v>
      </c>
      <c r="N72" s="123">
        <v>71</v>
      </c>
      <c r="O72" s="123">
        <v>71</v>
      </c>
      <c r="P72" s="160">
        <f>O72</f>
        <v>71</v>
      </c>
      <c r="Q72" s="128">
        <f t="shared" si="3"/>
        <v>71</v>
      </c>
    </row>
    <row r="73" spans="1:17" s="178" customFormat="1" x14ac:dyDescent="0.25">
      <c r="A73" s="179" t="s">
        <v>234</v>
      </c>
      <c r="B73" s="180" t="s">
        <v>235</v>
      </c>
      <c r="C73" s="181" t="s">
        <v>233</v>
      </c>
      <c r="D73" s="119">
        <v>0.03</v>
      </c>
      <c r="E73" s="119" t="s">
        <v>110</v>
      </c>
      <c r="F73" s="176"/>
      <c r="G73" s="119" t="s">
        <v>236</v>
      </c>
      <c r="H73" s="119" t="s">
        <v>237</v>
      </c>
      <c r="I73" s="119" t="s">
        <v>238</v>
      </c>
      <c r="J73" s="119" t="s">
        <v>239</v>
      </c>
      <c r="K73" s="119" t="s">
        <v>240</v>
      </c>
      <c r="L73" s="119" t="s">
        <v>241</v>
      </c>
      <c r="M73" s="119" t="s">
        <v>242</v>
      </c>
      <c r="N73" s="119" t="s">
        <v>242</v>
      </c>
      <c r="O73" s="119" t="s">
        <v>242</v>
      </c>
      <c r="P73" s="182" t="str">
        <f>O73</f>
        <v>89(57)</v>
      </c>
      <c r="Q73" s="183" t="str">
        <f t="shared" si="3"/>
        <v>89(57)</v>
      </c>
    </row>
    <row r="74" spans="1:17" s="80" customFormat="1" x14ac:dyDescent="0.25">
      <c r="A74" s="179"/>
      <c r="B74" s="180"/>
      <c r="C74" s="181"/>
      <c r="D74" s="119"/>
      <c r="E74" s="119"/>
      <c r="F74" s="176"/>
      <c r="G74" s="119"/>
      <c r="H74" s="119"/>
      <c r="I74" s="119"/>
      <c r="J74" s="119"/>
      <c r="K74" s="119"/>
      <c r="L74" s="119"/>
      <c r="M74" s="119"/>
      <c r="N74" s="119"/>
      <c r="O74" s="119"/>
      <c r="P74" s="184"/>
      <c r="Q74" s="183"/>
    </row>
    <row r="76" spans="1:17" x14ac:dyDescent="0.25">
      <c r="A76" s="185" t="s">
        <v>33</v>
      </c>
      <c r="B76" s="185"/>
      <c r="C76" s="185"/>
      <c r="D76" s="185"/>
      <c r="E76" s="185"/>
      <c r="F76" s="185"/>
      <c r="G76" s="185"/>
      <c r="H76" s="185"/>
      <c r="I76" s="185"/>
      <c r="J76" s="186" t="s">
        <v>243</v>
      </c>
      <c r="K76" s="186"/>
      <c r="L76" s="186"/>
      <c r="M76" s="186"/>
      <c r="N76" s="187"/>
      <c r="O76" s="187"/>
    </row>
  </sheetData>
  <mergeCells count="55">
    <mergeCell ref="O73:O74"/>
    <mergeCell ref="P73:P74"/>
    <mergeCell ref="Q73:Q74"/>
    <mergeCell ref="A76:I76"/>
    <mergeCell ref="J76:M76"/>
    <mergeCell ref="I73:I74"/>
    <mergeCell ref="J73:J74"/>
    <mergeCell ref="K73:K74"/>
    <mergeCell ref="L73:L74"/>
    <mergeCell ref="M73:M74"/>
    <mergeCell ref="N73:N74"/>
    <mergeCell ref="A51:N51"/>
    <mergeCell ref="A52:N52"/>
    <mergeCell ref="A71:N71"/>
    <mergeCell ref="A73:A74"/>
    <mergeCell ref="B73:B74"/>
    <mergeCell ref="C73:C74"/>
    <mergeCell ref="D73:D74"/>
    <mergeCell ref="E73:E74"/>
    <mergeCell ref="G73:G74"/>
    <mergeCell ref="H73:H74"/>
    <mergeCell ref="A41:N41"/>
    <mergeCell ref="A43:N43"/>
    <mergeCell ref="A44:N44"/>
    <mergeCell ref="A45:N45"/>
    <mergeCell ref="A47:N47"/>
    <mergeCell ref="A50:N50"/>
    <mergeCell ref="A13:N13"/>
    <mergeCell ref="A18:N18"/>
    <mergeCell ref="A19:N19"/>
    <mergeCell ref="A20:N20"/>
    <mergeCell ref="A26:N26"/>
    <mergeCell ref="A37:N37"/>
    <mergeCell ref="O3:O5"/>
    <mergeCell ref="P3:P5"/>
    <mergeCell ref="Q3:Q5"/>
    <mergeCell ref="A6:N6"/>
    <mergeCell ref="A11:N11"/>
    <mergeCell ref="A12:N12"/>
    <mergeCell ref="I3:I5"/>
    <mergeCell ref="J3:J5"/>
    <mergeCell ref="K3:K5"/>
    <mergeCell ref="L3:L5"/>
    <mergeCell ref="M3:M5"/>
    <mergeCell ref="N3:N5"/>
    <mergeCell ref="G1:P1"/>
    <mergeCell ref="A2:M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19685039370078741" header="0.31496062992125984" footer="0.31496062992125984"/>
  <pageSetup paperSize="9" scale="58" fitToHeight="99" orientation="landscape" r:id="rId1"/>
  <headerFooter differentFirst="1">
    <oddHeader>&amp;C&amp;P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view="pageBreakPreview" zoomScaleNormal="100" zoomScaleSheetLayoutView="100" workbookViewId="0">
      <selection activeCell="J17" sqref="J17"/>
    </sheetView>
  </sheetViews>
  <sheetFormatPr defaultRowHeight="15.75" x14ac:dyDescent="0.25"/>
  <cols>
    <col min="1" max="1" width="7.42578125" style="53" customWidth="1"/>
    <col min="2" max="2" width="79.140625" style="53" customWidth="1"/>
    <col min="3" max="3" width="12" style="53" customWidth="1"/>
    <col min="4" max="4" width="16.28515625" style="53" customWidth="1"/>
    <col min="5" max="5" width="9.140625" style="53" hidden="1" customWidth="1"/>
    <col min="6" max="8" width="11.42578125" style="53" customWidth="1"/>
    <col min="9" max="11" width="11.42578125" style="436" customWidth="1"/>
    <col min="12" max="12" width="11.42578125" style="437" customWidth="1"/>
    <col min="13" max="13" width="11.42578125" style="53" customWidth="1"/>
    <col min="14" max="16384" width="9.140625" style="53"/>
  </cols>
  <sheetData>
    <row r="1" spans="1:16" ht="50.25" customHeight="1" x14ac:dyDescent="0.25">
      <c r="A1" s="112"/>
      <c r="B1" s="113"/>
      <c r="C1" s="114"/>
      <c r="D1" s="113"/>
      <c r="F1" s="428" t="s">
        <v>538</v>
      </c>
      <c r="G1" s="428"/>
      <c r="H1" s="428"/>
      <c r="I1" s="428"/>
      <c r="J1" s="428"/>
      <c r="K1" s="428"/>
      <c r="L1" s="428"/>
      <c r="M1" s="428"/>
      <c r="N1" s="428"/>
      <c r="O1" s="428"/>
      <c r="P1" s="428"/>
    </row>
    <row r="2" spans="1:16" ht="26.25" customHeight="1" x14ac:dyDescent="0.25">
      <c r="A2" s="213" t="s">
        <v>254</v>
      </c>
      <c r="B2" s="213"/>
      <c r="C2" s="213"/>
      <c r="D2" s="213"/>
      <c r="E2" s="213"/>
      <c r="F2" s="213"/>
      <c r="G2" s="213"/>
      <c r="H2" s="213"/>
      <c r="I2" s="213"/>
      <c r="J2" s="429"/>
      <c r="K2" s="429"/>
      <c r="L2" s="429"/>
    </row>
    <row r="3" spans="1:16" ht="53.25" customHeight="1" x14ac:dyDescent="0.25">
      <c r="A3" s="118" t="s">
        <v>97</v>
      </c>
      <c r="B3" s="119" t="s">
        <v>255</v>
      </c>
      <c r="C3" s="119" t="s">
        <v>99</v>
      </c>
      <c r="D3" s="119" t="s">
        <v>101</v>
      </c>
      <c r="E3" s="50" t="s">
        <v>102</v>
      </c>
      <c r="F3" s="50" t="s">
        <v>41</v>
      </c>
      <c r="G3" s="50" t="s">
        <v>42</v>
      </c>
      <c r="H3" s="50" t="s">
        <v>43</v>
      </c>
      <c r="I3" s="50" t="s">
        <v>44</v>
      </c>
      <c r="J3" s="50" t="s">
        <v>45</v>
      </c>
      <c r="K3" s="50" t="s">
        <v>46</v>
      </c>
      <c r="L3" s="50" t="s">
        <v>47</v>
      </c>
      <c r="M3" s="50" t="s">
        <v>48</v>
      </c>
      <c r="N3" s="50" t="s">
        <v>49</v>
      </c>
      <c r="O3" s="50" t="s">
        <v>50</v>
      </c>
      <c r="P3" s="50" t="s">
        <v>51</v>
      </c>
    </row>
    <row r="4" spans="1:16" s="148" customFormat="1" ht="22.5" customHeight="1" x14ac:dyDescent="0.2">
      <c r="A4" s="118"/>
      <c r="B4" s="119"/>
      <c r="C4" s="119"/>
      <c r="D4" s="119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6" ht="36" customHeight="1" x14ac:dyDescent="0.25">
      <c r="A5" s="225" t="s">
        <v>539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</row>
    <row r="6" spans="1:16" ht="30" customHeight="1" x14ac:dyDescent="0.25">
      <c r="A6" s="430" t="s">
        <v>540</v>
      </c>
      <c r="B6" s="431"/>
      <c r="C6" s="431"/>
      <c r="D6" s="431"/>
      <c r="E6" s="431"/>
      <c r="F6" s="431"/>
      <c r="G6" s="431"/>
      <c r="H6" s="431"/>
      <c r="I6" s="431"/>
      <c r="J6" s="431"/>
      <c r="K6" s="431"/>
      <c r="L6" s="431"/>
      <c r="M6" s="432"/>
    </row>
    <row r="7" spans="1:16" ht="31.5" x14ac:dyDescent="0.25">
      <c r="A7" s="433" t="s">
        <v>541</v>
      </c>
      <c r="B7" s="161" t="s">
        <v>542</v>
      </c>
      <c r="C7" s="173" t="s">
        <v>105</v>
      </c>
      <c r="D7" s="123" t="s">
        <v>110</v>
      </c>
      <c r="E7" s="125"/>
      <c r="F7" s="124">
        <v>82.9</v>
      </c>
      <c r="G7" s="124">
        <v>82.9</v>
      </c>
      <c r="H7" s="124">
        <v>93.2</v>
      </c>
      <c r="I7" s="124">
        <v>93.7</v>
      </c>
      <c r="J7" s="124">
        <v>94</v>
      </c>
      <c r="K7" s="124">
        <v>94</v>
      </c>
      <c r="L7" s="124">
        <v>94</v>
      </c>
      <c r="M7" s="124">
        <v>94</v>
      </c>
      <c r="N7" s="124">
        <v>94</v>
      </c>
      <c r="O7" s="124">
        <v>94</v>
      </c>
      <c r="P7" s="124">
        <v>94</v>
      </c>
    </row>
    <row r="8" spans="1:16" ht="33.75" customHeight="1" x14ac:dyDescent="0.25">
      <c r="A8" s="430" t="s">
        <v>543</v>
      </c>
      <c r="B8" s="431"/>
      <c r="C8" s="431"/>
      <c r="D8" s="431"/>
      <c r="E8" s="431"/>
      <c r="F8" s="431"/>
      <c r="G8" s="431"/>
      <c r="H8" s="431"/>
      <c r="I8" s="431"/>
      <c r="J8" s="431"/>
      <c r="K8" s="431"/>
      <c r="L8" s="431"/>
      <c r="M8" s="432"/>
    </row>
    <row r="9" spans="1:16" ht="31.5" x14ac:dyDescent="0.25">
      <c r="A9" s="434" t="s">
        <v>544</v>
      </c>
      <c r="B9" s="161" t="s">
        <v>545</v>
      </c>
      <c r="C9" s="173" t="s">
        <v>105</v>
      </c>
      <c r="D9" s="123" t="s">
        <v>110</v>
      </c>
      <c r="E9" s="125"/>
      <c r="F9" s="124">
        <v>73</v>
      </c>
      <c r="G9" s="124">
        <v>74</v>
      </c>
      <c r="H9" s="124">
        <v>89</v>
      </c>
      <c r="I9" s="124">
        <v>90</v>
      </c>
      <c r="J9" s="124">
        <v>92</v>
      </c>
      <c r="K9" s="124">
        <v>95</v>
      </c>
      <c r="L9" s="124">
        <v>95</v>
      </c>
      <c r="M9" s="124">
        <v>95</v>
      </c>
      <c r="N9" s="124">
        <v>95</v>
      </c>
      <c r="O9" s="124">
        <v>95</v>
      </c>
      <c r="P9" s="124">
        <v>95</v>
      </c>
    </row>
    <row r="10" spans="1:16" ht="47.25" x14ac:dyDescent="0.25">
      <c r="A10" s="434" t="s">
        <v>546</v>
      </c>
      <c r="B10" s="161" t="s">
        <v>185</v>
      </c>
      <c r="C10" s="435" t="s">
        <v>105</v>
      </c>
      <c r="D10" s="123" t="s">
        <v>110</v>
      </c>
      <c r="E10" s="123">
        <v>15.6</v>
      </c>
      <c r="F10" s="124">
        <v>70</v>
      </c>
      <c r="G10" s="124">
        <v>70</v>
      </c>
      <c r="H10" s="124">
        <v>95</v>
      </c>
      <c r="I10" s="124">
        <v>97</v>
      </c>
      <c r="J10" s="124">
        <v>97</v>
      </c>
      <c r="K10" s="124">
        <v>98</v>
      </c>
      <c r="L10" s="124">
        <v>98</v>
      </c>
      <c r="M10" s="124">
        <v>98</v>
      </c>
      <c r="N10" s="124">
        <v>98</v>
      </c>
      <c r="O10" s="124">
        <v>98</v>
      </c>
      <c r="P10" s="124">
        <v>98</v>
      </c>
    </row>
    <row r="11" spans="1:16" x14ac:dyDescent="0.25">
      <c r="A11" s="188"/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</row>
    <row r="12" spans="1:16" x14ac:dyDescent="0.25">
      <c r="A12" s="241" t="s">
        <v>33</v>
      </c>
      <c r="B12" s="241"/>
      <c r="C12" s="241"/>
      <c r="I12" s="111" t="s">
        <v>243</v>
      </c>
      <c r="J12" s="111"/>
      <c r="K12" s="111"/>
      <c r="L12" s="111"/>
    </row>
  </sheetData>
  <mergeCells count="22">
    <mergeCell ref="O3:O4"/>
    <mergeCell ref="P3:P4"/>
    <mergeCell ref="A5:N5"/>
    <mergeCell ref="A6:M6"/>
    <mergeCell ref="A8:M8"/>
    <mergeCell ref="I12:L12"/>
    <mergeCell ref="I3:I4"/>
    <mergeCell ref="J3:J4"/>
    <mergeCell ref="K3:K4"/>
    <mergeCell ref="L3:L4"/>
    <mergeCell ref="M3:M4"/>
    <mergeCell ref="N3:N4"/>
    <mergeCell ref="F1:P1"/>
    <mergeCell ref="A2:I2"/>
    <mergeCell ref="A3:A4"/>
    <mergeCell ref="B3:B4"/>
    <mergeCell ref="C3:C4"/>
    <mergeCell ref="D3:D4"/>
    <mergeCell ref="E3:E4"/>
    <mergeCell ref="F3:F4"/>
    <mergeCell ref="G3:G4"/>
    <mergeCell ref="H3:H4"/>
  </mergeCells>
  <pageMargins left="0.51181102362204722" right="0.31496062992125984" top="0.55118110236220474" bottom="0.35433070866141736" header="0.31496062992125984" footer="0.31496062992125984"/>
  <pageSetup paperSize="9" scale="60" fitToHeight="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7"/>
  <sheetViews>
    <sheetView view="pageBreakPreview" zoomScale="98" zoomScaleNormal="98" zoomScaleSheetLayoutView="98" workbookViewId="0">
      <pane xSplit="3" ySplit="5" topLeftCell="D21" activePane="bottomRight" state="frozen"/>
      <selection activeCell="Q12" sqref="Q12"/>
      <selection pane="topRight" activeCell="Q12" sqref="Q12"/>
      <selection pane="bottomLeft" activeCell="Q12" sqref="Q12"/>
      <selection pane="bottomRight" activeCell="J29" sqref="J29"/>
    </sheetView>
  </sheetViews>
  <sheetFormatPr defaultColWidth="9.28515625" defaultRowHeight="15.75" x14ac:dyDescent="0.25"/>
  <cols>
    <col min="1" max="1" width="6.5703125" style="305" customWidth="1"/>
    <col min="2" max="2" width="50.42578125" style="53" customWidth="1"/>
    <col min="3" max="3" width="21.7109375" style="306" customWidth="1"/>
    <col min="4" max="5" width="9.28515625" style="306" customWidth="1"/>
    <col min="6" max="6" width="14.85546875" style="306" customWidth="1"/>
    <col min="7" max="7" width="11.28515625" style="306" customWidth="1"/>
    <col min="8" max="8" width="12.7109375" style="306" customWidth="1"/>
    <col min="9" max="13" width="12.7109375" style="53" customWidth="1"/>
    <col min="14" max="14" width="12.7109375" style="80" customWidth="1"/>
    <col min="15" max="18" width="12.7109375" style="53" customWidth="1"/>
    <col min="19" max="19" width="14.7109375" style="53" customWidth="1"/>
    <col min="20" max="20" width="40.140625" style="53" customWidth="1"/>
    <col min="21" max="21" width="12" style="53" customWidth="1"/>
    <col min="22" max="16384" width="9.28515625" style="53"/>
  </cols>
  <sheetData>
    <row r="1" spans="1:21" s="206" customFormat="1" ht="75" customHeight="1" x14ac:dyDescent="0.25">
      <c r="A1" s="244"/>
      <c r="B1" s="245"/>
      <c r="C1" s="246"/>
      <c r="D1" s="246"/>
      <c r="E1" s="246"/>
      <c r="F1" s="246"/>
      <c r="G1" s="246"/>
      <c r="H1" s="246"/>
      <c r="I1" s="438"/>
      <c r="J1" s="438"/>
      <c r="N1" s="178"/>
      <c r="S1" s="439" t="s">
        <v>547</v>
      </c>
      <c r="T1" s="439"/>
      <c r="U1" s="440"/>
    </row>
    <row r="2" spans="1:21" s="206" customFormat="1" ht="23.25" customHeight="1" x14ac:dyDescent="0.25">
      <c r="A2" s="250" t="s">
        <v>265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</row>
    <row r="3" spans="1:21" s="206" customFormat="1" ht="24.75" customHeight="1" x14ac:dyDescent="0.25">
      <c r="A3" s="50" t="s">
        <v>97</v>
      </c>
      <c r="B3" s="50" t="s">
        <v>266</v>
      </c>
      <c r="C3" s="50" t="s">
        <v>7</v>
      </c>
      <c r="D3" s="85" t="s">
        <v>5</v>
      </c>
      <c r="E3" s="86"/>
      <c r="F3" s="86"/>
      <c r="G3" s="87"/>
      <c r="H3" s="441"/>
      <c r="I3" s="50" t="s">
        <v>6</v>
      </c>
      <c r="J3" s="50"/>
      <c r="K3" s="50"/>
      <c r="L3" s="50"/>
      <c r="M3" s="50"/>
      <c r="N3" s="50"/>
      <c r="O3" s="50"/>
      <c r="P3" s="50"/>
      <c r="Q3" s="50"/>
      <c r="R3" s="50"/>
      <c r="S3" s="50"/>
      <c r="T3" s="50" t="s">
        <v>267</v>
      </c>
    </row>
    <row r="4" spans="1:21" s="206" customFormat="1" ht="42" customHeight="1" x14ac:dyDescent="0.25">
      <c r="A4" s="50"/>
      <c r="B4" s="50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141">
        <v>2020</v>
      </c>
      <c r="O4" s="12">
        <v>2021</v>
      </c>
      <c r="P4" s="12">
        <v>2022</v>
      </c>
      <c r="Q4" s="12">
        <v>2023</v>
      </c>
      <c r="R4" s="12">
        <v>2024</v>
      </c>
      <c r="S4" s="12" t="s">
        <v>11</v>
      </c>
      <c r="T4" s="50"/>
    </row>
    <row r="5" spans="1:21" ht="26.25" customHeight="1" x14ac:dyDescent="0.25">
      <c r="A5" s="33" t="s">
        <v>548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1" ht="15.75" hidden="1" customHeight="1" x14ac:dyDescent="0.25">
      <c r="A6" s="442"/>
      <c r="B6" s="30"/>
      <c r="C6" s="12"/>
      <c r="D6" s="254"/>
      <c r="E6" s="12"/>
      <c r="F6" s="254" t="s">
        <v>549</v>
      </c>
      <c r="G6" s="12">
        <v>530</v>
      </c>
      <c r="H6" s="12"/>
      <c r="I6" s="23"/>
      <c r="J6" s="23"/>
      <c r="K6" s="23"/>
      <c r="L6" s="23"/>
      <c r="M6" s="23"/>
      <c r="N6" s="22"/>
      <c r="O6" s="23"/>
      <c r="P6" s="23"/>
      <c r="Q6" s="23"/>
      <c r="R6" s="23"/>
      <c r="S6" s="23">
        <f>SUM(I6:K6)</f>
        <v>0</v>
      </c>
      <c r="T6" s="30"/>
    </row>
    <row r="7" spans="1:21" ht="21.75" customHeight="1" x14ac:dyDescent="0.25">
      <c r="A7" s="251" t="s">
        <v>550</v>
      </c>
      <c r="B7" s="251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</row>
    <row r="8" spans="1:21" ht="31.5" hidden="1" customHeight="1" x14ac:dyDescent="0.25">
      <c r="A8" s="252" t="s">
        <v>551</v>
      </c>
      <c r="B8" s="443" t="s">
        <v>552</v>
      </c>
      <c r="C8" s="40" t="s">
        <v>17</v>
      </c>
      <c r="D8" s="12">
        <v>975</v>
      </c>
      <c r="E8" s="254" t="s">
        <v>333</v>
      </c>
      <c r="F8" s="254" t="s">
        <v>553</v>
      </c>
      <c r="G8" s="254" t="s">
        <v>276</v>
      </c>
      <c r="H8" s="254"/>
      <c r="I8" s="30"/>
      <c r="J8" s="12"/>
      <c r="K8" s="444"/>
      <c r="L8" s="444"/>
      <c r="M8" s="444"/>
      <c r="N8" s="445"/>
      <c r="O8" s="444"/>
      <c r="P8" s="444"/>
      <c r="Q8" s="444"/>
      <c r="R8" s="444"/>
      <c r="S8" s="23">
        <f>SUM(G8:N8)</f>
        <v>0</v>
      </c>
      <c r="T8" s="446" t="s">
        <v>554</v>
      </c>
    </row>
    <row r="9" spans="1:21" ht="56.25" customHeight="1" x14ac:dyDescent="0.25">
      <c r="A9" s="256"/>
      <c r="B9" s="447"/>
      <c r="C9" s="42"/>
      <c r="D9" s="448" t="s">
        <v>18</v>
      </c>
      <c r="E9" s="448" t="s">
        <v>333</v>
      </c>
      <c r="F9" s="254" t="s">
        <v>553</v>
      </c>
      <c r="G9" s="12">
        <v>622</v>
      </c>
      <c r="H9" s="23">
        <v>97.2</v>
      </c>
      <c r="I9" s="23"/>
      <c r="J9" s="449"/>
      <c r="L9" s="23"/>
      <c r="M9" s="23"/>
      <c r="N9" s="22"/>
      <c r="O9" s="23"/>
      <c r="P9" s="23">
        <f>O9</f>
        <v>0</v>
      </c>
      <c r="Q9" s="23">
        <f>P9</f>
        <v>0</v>
      </c>
      <c r="R9" s="23">
        <f>Q9</f>
        <v>0</v>
      </c>
      <c r="S9" s="23">
        <f>SUM(H9:R9)</f>
        <v>97.2</v>
      </c>
      <c r="T9" s="357" t="s">
        <v>555</v>
      </c>
    </row>
    <row r="10" spans="1:21" ht="73.900000000000006" customHeight="1" x14ac:dyDescent="0.25">
      <c r="A10" s="259"/>
      <c r="B10" s="450"/>
      <c r="C10" s="75"/>
      <c r="D10" s="448" t="s">
        <v>18</v>
      </c>
      <c r="E10" s="448" t="s">
        <v>333</v>
      </c>
      <c r="F10" s="254" t="s">
        <v>556</v>
      </c>
      <c r="G10" s="12">
        <v>244</v>
      </c>
      <c r="H10" s="23"/>
      <c r="I10" s="23">
        <v>96</v>
      </c>
      <c r="J10" s="23">
        <v>87.9</v>
      </c>
      <c r="K10" s="23">
        <v>110.6</v>
      </c>
      <c r="L10" s="23">
        <v>175</v>
      </c>
      <c r="M10" s="23">
        <v>201.4</v>
      </c>
      <c r="N10" s="22"/>
      <c r="O10" s="23"/>
      <c r="P10" s="23"/>
      <c r="Q10" s="23">
        <f t="shared" ref="Q10:R23" si="0">P10</f>
        <v>0</v>
      </c>
      <c r="R10" s="23">
        <f t="shared" si="0"/>
        <v>0</v>
      </c>
      <c r="S10" s="23">
        <f t="shared" ref="S10:S23" si="1">SUM(H10:R10)</f>
        <v>670.9</v>
      </c>
      <c r="T10" s="358"/>
    </row>
    <row r="11" spans="1:21" ht="99" customHeight="1" x14ac:dyDescent="0.25">
      <c r="A11" s="254" t="s">
        <v>259</v>
      </c>
      <c r="B11" s="30" t="s">
        <v>557</v>
      </c>
      <c r="C11" s="12" t="s">
        <v>17</v>
      </c>
      <c r="D11" s="448" t="s">
        <v>18</v>
      </c>
      <c r="E11" s="448" t="s">
        <v>333</v>
      </c>
      <c r="F11" s="254" t="s">
        <v>553</v>
      </c>
      <c r="G11" s="12">
        <v>612</v>
      </c>
      <c r="H11" s="23">
        <v>214.3</v>
      </c>
      <c r="I11" s="23">
        <v>214.3</v>
      </c>
      <c r="J11" s="451"/>
      <c r="K11" s="452"/>
      <c r="L11" s="452"/>
      <c r="M11" s="452"/>
      <c r="N11" s="453"/>
      <c r="O11" s="452"/>
      <c r="P11" s="23">
        <f t="shared" ref="P11:P22" si="2">O11</f>
        <v>0</v>
      </c>
      <c r="Q11" s="23">
        <f t="shared" si="0"/>
        <v>0</v>
      </c>
      <c r="R11" s="23">
        <f t="shared" si="0"/>
        <v>0</v>
      </c>
      <c r="S11" s="23">
        <f t="shared" si="1"/>
        <v>428.6</v>
      </c>
      <c r="T11" s="331" t="s">
        <v>558</v>
      </c>
      <c r="U11" s="53">
        <v>2</v>
      </c>
    </row>
    <row r="12" spans="1:21" ht="54.75" customHeight="1" x14ac:dyDescent="0.25">
      <c r="A12" s="454" t="s">
        <v>260</v>
      </c>
      <c r="B12" s="455" t="s">
        <v>559</v>
      </c>
      <c r="C12" s="40" t="s">
        <v>17</v>
      </c>
      <c r="D12" s="274" t="s">
        <v>18</v>
      </c>
      <c r="E12" s="274" t="s">
        <v>333</v>
      </c>
      <c r="F12" s="274" t="s">
        <v>553</v>
      </c>
      <c r="G12" s="12">
        <v>622</v>
      </c>
      <c r="H12" s="23">
        <f>6.8</f>
        <v>6.8</v>
      </c>
      <c r="I12" s="23"/>
      <c r="J12" s="23"/>
      <c r="K12" s="23"/>
      <c r="L12" s="23"/>
      <c r="M12" s="23"/>
      <c r="N12" s="22"/>
      <c r="O12" s="23"/>
      <c r="P12" s="23">
        <f t="shared" si="2"/>
        <v>0</v>
      </c>
      <c r="Q12" s="23">
        <f t="shared" si="0"/>
        <v>0</v>
      </c>
      <c r="R12" s="23">
        <f t="shared" si="0"/>
        <v>0</v>
      </c>
      <c r="S12" s="23">
        <f t="shared" si="1"/>
        <v>6.8</v>
      </c>
      <c r="T12" s="357" t="s">
        <v>560</v>
      </c>
    </row>
    <row r="13" spans="1:21" ht="42.75" customHeight="1" x14ac:dyDescent="0.25">
      <c r="A13" s="456"/>
      <c r="B13" s="457"/>
      <c r="C13" s="75"/>
      <c r="D13" s="274" t="s">
        <v>18</v>
      </c>
      <c r="E13" s="274" t="s">
        <v>333</v>
      </c>
      <c r="F13" s="274" t="s">
        <v>553</v>
      </c>
      <c r="G13" s="458">
        <v>244</v>
      </c>
      <c r="H13" s="23"/>
      <c r="I13" s="23">
        <v>6.8</v>
      </c>
      <c r="J13" s="23"/>
      <c r="K13" s="23"/>
      <c r="L13" s="23"/>
      <c r="M13" s="23"/>
      <c r="N13" s="22"/>
      <c r="O13" s="23"/>
      <c r="P13" s="23">
        <f t="shared" si="2"/>
        <v>0</v>
      </c>
      <c r="Q13" s="23">
        <f t="shared" si="0"/>
        <v>0</v>
      </c>
      <c r="R13" s="23">
        <f t="shared" si="0"/>
        <v>0</v>
      </c>
      <c r="S13" s="23">
        <f t="shared" si="1"/>
        <v>6.8</v>
      </c>
      <c r="T13" s="358"/>
    </row>
    <row r="14" spans="1:21" ht="78.599999999999994" customHeight="1" x14ac:dyDescent="0.25">
      <c r="A14" s="252" t="s">
        <v>262</v>
      </c>
      <c r="B14" s="455" t="s">
        <v>561</v>
      </c>
      <c r="C14" s="40" t="s">
        <v>17</v>
      </c>
      <c r="D14" s="274" t="s">
        <v>18</v>
      </c>
      <c r="E14" s="274" t="s">
        <v>333</v>
      </c>
      <c r="F14" s="274" t="s">
        <v>562</v>
      </c>
      <c r="G14" s="458" t="s">
        <v>563</v>
      </c>
      <c r="H14" s="12">
        <v>1367.3</v>
      </c>
      <c r="I14" s="23">
        <v>1367.3</v>
      </c>
      <c r="J14" s="23">
        <v>1309.4000000000001</v>
      </c>
      <c r="K14" s="23">
        <f>1648.2</f>
        <v>1648.2</v>
      </c>
      <c r="L14" s="23">
        <v>1812.7</v>
      </c>
      <c r="M14" s="23"/>
      <c r="N14" s="22"/>
      <c r="O14" s="22">
        <v>2313.1</v>
      </c>
      <c r="P14" s="22">
        <f>3097.9+191.7</f>
        <v>3289.6</v>
      </c>
      <c r="Q14" s="22">
        <f>2279.2+123.1</f>
        <v>2402.2999999999997</v>
      </c>
      <c r="R14" s="23">
        <f t="shared" si="0"/>
        <v>2402.2999999999997</v>
      </c>
      <c r="S14" s="23">
        <f t="shared" si="1"/>
        <v>17912.2</v>
      </c>
      <c r="T14" s="357" t="s">
        <v>564</v>
      </c>
    </row>
    <row r="15" spans="1:21" ht="49.5" customHeight="1" x14ac:dyDescent="0.25">
      <c r="A15" s="256"/>
      <c r="B15" s="457"/>
      <c r="C15" s="42"/>
      <c r="D15" s="274" t="s">
        <v>18</v>
      </c>
      <c r="E15" s="274" t="s">
        <v>333</v>
      </c>
      <c r="F15" s="274" t="s">
        <v>565</v>
      </c>
      <c r="G15" s="458">
        <v>622</v>
      </c>
      <c r="H15" s="12">
        <v>344.4</v>
      </c>
      <c r="I15" s="23">
        <v>344.4</v>
      </c>
      <c r="J15" s="23">
        <v>338.1</v>
      </c>
      <c r="K15" s="459">
        <v>0</v>
      </c>
      <c r="L15" s="23"/>
      <c r="M15" s="23"/>
      <c r="N15" s="22"/>
      <c r="O15" s="23"/>
      <c r="P15" s="23">
        <f t="shared" si="2"/>
        <v>0</v>
      </c>
      <c r="Q15" s="23">
        <f t="shared" si="0"/>
        <v>0</v>
      </c>
      <c r="R15" s="23">
        <f t="shared" si="0"/>
        <v>0</v>
      </c>
      <c r="S15" s="23">
        <f t="shared" si="1"/>
        <v>1026.9000000000001</v>
      </c>
      <c r="T15" s="404"/>
    </row>
    <row r="16" spans="1:21" ht="46.5" customHeight="1" x14ac:dyDescent="0.25">
      <c r="A16" s="256"/>
      <c r="B16" s="455" t="s">
        <v>566</v>
      </c>
      <c r="C16" s="42"/>
      <c r="D16" s="274" t="s">
        <v>18</v>
      </c>
      <c r="E16" s="274" t="s">
        <v>333</v>
      </c>
      <c r="F16" s="274" t="s">
        <v>567</v>
      </c>
      <c r="G16" s="458" t="s">
        <v>568</v>
      </c>
      <c r="H16" s="12">
        <v>1.4</v>
      </c>
      <c r="I16" s="23">
        <v>286.10000000000002</v>
      </c>
      <c r="J16" s="23">
        <v>746.2</v>
      </c>
      <c r="K16" s="23">
        <v>358.1</v>
      </c>
      <c r="L16" s="23">
        <v>358.1</v>
      </c>
      <c r="M16" s="23">
        <v>401.7</v>
      </c>
      <c r="N16" s="22"/>
      <c r="O16" s="23"/>
      <c r="P16" s="23"/>
      <c r="Q16" s="23"/>
      <c r="R16" s="23">
        <f t="shared" si="0"/>
        <v>0</v>
      </c>
      <c r="S16" s="23">
        <f t="shared" si="1"/>
        <v>2151.6</v>
      </c>
      <c r="T16" s="404"/>
    </row>
    <row r="17" spans="1:21" ht="79.150000000000006" customHeight="1" x14ac:dyDescent="0.25">
      <c r="A17" s="256"/>
      <c r="B17" s="457"/>
      <c r="C17" s="42"/>
      <c r="D17" s="274" t="s">
        <v>18</v>
      </c>
      <c r="E17" s="274" t="s">
        <v>333</v>
      </c>
      <c r="F17" s="274" t="s">
        <v>569</v>
      </c>
      <c r="G17" s="458" t="s">
        <v>570</v>
      </c>
      <c r="H17" s="12">
        <v>0.4</v>
      </c>
      <c r="I17" s="23">
        <v>72.099999999999994</v>
      </c>
      <c r="J17" s="23">
        <v>73.5</v>
      </c>
      <c r="K17" s="23">
        <v>580.79999999999995</v>
      </c>
      <c r="L17" s="23">
        <v>516.5</v>
      </c>
      <c r="M17" s="23">
        <v>579.79999999999995</v>
      </c>
      <c r="N17" s="22"/>
      <c r="O17" s="22">
        <v>829.3</v>
      </c>
      <c r="P17" s="23"/>
      <c r="Q17" s="23"/>
      <c r="R17" s="23">
        <f t="shared" si="0"/>
        <v>0</v>
      </c>
      <c r="S17" s="23">
        <f t="shared" si="1"/>
        <v>2652.3999999999996</v>
      </c>
      <c r="T17" s="404"/>
    </row>
    <row r="18" spans="1:21" ht="62.25" customHeight="1" x14ac:dyDescent="0.25">
      <c r="A18" s="259"/>
      <c r="B18" s="460" t="s">
        <v>571</v>
      </c>
      <c r="C18" s="75"/>
      <c r="D18" s="274" t="s">
        <v>18</v>
      </c>
      <c r="E18" s="274" t="s">
        <v>333</v>
      </c>
      <c r="F18" s="274" t="s">
        <v>15</v>
      </c>
      <c r="G18" s="274" t="s">
        <v>15</v>
      </c>
      <c r="H18" s="23">
        <v>533</v>
      </c>
      <c r="I18" s="23">
        <v>705.2</v>
      </c>
      <c r="J18" s="23">
        <v>691.4</v>
      </c>
      <c r="K18" s="23">
        <v>691.4</v>
      </c>
      <c r="L18" s="23">
        <v>691.4</v>
      </c>
      <c r="M18" s="23">
        <f>579.8+201.4</f>
        <v>781.19999999999993</v>
      </c>
      <c r="N18" s="22">
        <v>0</v>
      </c>
      <c r="O18" s="23">
        <v>0</v>
      </c>
      <c r="P18" s="23">
        <v>0</v>
      </c>
      <c r="Q18" s="23">
        <f t="shared" si="0"/>
        <v>0</v>
      </c>
      <c r="R18" s="23">
        <f t="shared" si="0"/>
        <v>0</v>
      </c>
      <c r="S18" s="23">
        <f t="shared" si="1"/>
        <v>4093.6</v>
      </c>
      <c r="T18" s="358"/>
    </row>
    <row r="19" spans="1:21" ht="95.45" customHeight="1" x14ac:dyDescent="0.25">
      <c r="A19" s="461"/>
      <c r="B19" s="460" t="s">
        <v>572</v>
      </c>
      <c r="C19" s="12" t="s">
        <v>17</v>
      </c>
      <c r="D19" s="274" t="s">
        <v>18</v>
      </c>
      <c r="E19" s="274" t="s">
        <v>333</v>
      </c>
      <c r="F19" s="274" t="s">
        <v>573</v>
      </c>
      <c r="G19" s="274" t="s">
        <v>574</v>
      </c>
      <c r="H19" s="23"/>
      <c r="I19" s="23"/>
      <c r="J19" s="23"/>
      <c r="K19" s="23"/>
      <c r="L19" s="23"/>
      <c r="M19" s="23"/>
      <c r="N19" s="22"/>
      <c r="O19" s="23"/>
      <c r="P19" s="23">
        <f t="shared" si="2"/>
        <v>0</v>
      </c>
      <c r="Q19" s="23">
        <f t="shared" si="0"/>
        <v>0</v>
      </c>
      <c r="R19" s="23">
        <f t="shared" si="0"/>
        <v>0</v>
      </c>
      <c r="S19" s="23">
        <f t="shared" si="1"/>
        <v>0</v>
      </c>
      <c r="T19" s="359"/>
    </row>
    <row r="20" spans="1:21" ht="129.75" customHeight="1" x14ac:dyDescent="0.25">
      <c r="A20" s="442" t="s">
        <v>347</v>
      </c>
      <c r="B20" s="462" t="s">
        <v>575</v>
      </c>
      <c r="C20" s="12" t="s">
        <v>17</v>
      </c>
      <c r="D20" s="254" t="s">
        <v>18</v>
      </c>
      <c r="E20" s="254" t="s">
        <v>333</v>
      </c>
      <c r="F20" s="254" t="s">
        <v>576</v>
      </c>
      <c r="G20" s="254" t="s">
        <v>577</v>
      </c>
      <c r="H20" s="23">
        <v>2887.9</v>
      </c>
      <c r="I20" s="23">
        <v>3076.7</v>
      </c>
      <c r="J20" s="23">
        <v>2913.1</v>
      </c>
      <c r="K20" s="23">
        <v>2917.5</v>
      </c>
      <c r="L20" s="23">
        <v>3303.7</v>
      </c>
      <c r="M20" s="23">
        <v>5258.7</v>
      </c>
      <c r="N20" s="22"/>
      <c r="O20" s="22">
        <v>4285.3</v>
      </c>
      <c r="P20" s="23">
        <v>5521.8</v>
      </c>
      <c r="Q20" s="23">
        <v>4989.2</v>
      </c>
      <c r="R20" s="23">
        <f t="shared" si="0"/>
        <v>4989.2</v>
      </c>
      <c r="S20" s="23">
        <f t="shared" si="1"/>
        <v>40143.1</v>
      </c>
      <c r="T20" s="360" t="s">
        <v>578</v>
      </c>
      <c r="U20" s="53">
        <v>4</v>
      </c>
    </row>
    <row r="21" spans="1:21" ht="140.25" customHeight="1" x14ac:dyDescent="0.25">
      <c r="A21" s="442" t="s">
        <v>579</v>
      </c>
      <c r="B21" s="462" t="s">
        <v>580</v>
      </c>
      <c r="C21" s="12" t="s">
        <v>17</v>
      </c>
      <c r="D21" s="254" t="s">
        <v>18</v>
      </c>
      <c r="E21" s="254" t="s">
        <v>333</v>
      </c>
      <c r="F21" s="254" t="s">
        <v>581</v>
      </c>
      <c r="G21" s="254" t="s">
        <v>312</v>
      </c>
      <c r="H21" s="23">
        <v>1476.3</v>
      </c>
      <c r="I21" s="23">
        <v>1534.3</v>
      </c>
      <c r="J21" s="23">
        <v>1254.8</v>
      </c>
      <c r="K21" s="23">
        <v>1265.7</v>
      </c>
      <c r="L21" s="23">
        <v>1123.4000000000001</v>
      </c>
      <c r="M21" s="23">
        <v>1171.3</v>
      </c>
      <c r="N21" s="22"/>
      <c r="O21" s="22">
        <v>1632</v>
      </c>
      <c r="P21" s="23">
        <v>0</v>
      </c>
      <c r="Q21" s="23">
        <v>1632</v>
      </c>
      <c r="R21" s="23">
        <f t="shared" si="0"/>
        <v>1632</v>
      </c>
      <c r="S21" s="23">
        <f t="shared" si="1"/>
        <v>12721.8</v>
      </c>
      <c r="T21" s="360" t="s">
        <v>582</v>
      </c>
    </row>
    <row r="22" spans="1:21" ht="110.25" hidden="1" customHeight="1" x14ac:dyDescent="0.25">
      <c r="A22" s="442" t="s">
        <v>583</v>
      </c>
      <c r="B22" s="462" t="s">
        <v>584</v>
      </c>
      <c r="C22" s="12" t="s">
        <v>17</v>
      </c>
      <c r="D22" s="254"/>
      <c r="E22" s="254"/>
      <c r="F22" s="254"/>
      <c r="G22" s="254"/>
      <c r="H22" s="23"/>
      <c r="I22" s="23"/>
      <c r="J22" s="463"/>
      <c r="K22" s="23"/>
      <c r="L22" s="23"/>
      <c r="M22" s="23"/>
      <c r="N22" s="22"/>
      <c r="O22" s="23"/>
      <c r="P22" s="23">
        <f t="shared" si="2"/>
        <v>0</v>
      </c>
      <c r="Q22" s="23">
        <f t="shared" si="0"/>
        <v>0</v>
      </c>
      <c r="R22" s="23">
        <f t="shared" si="0"/>
        <v>0</v>
      </c>
      <c r="S22" s="23">
        <f t="shared" si="1"/>
        <v>0</v>
      </c>
      <c r="T22" s="282"/>
    </row>
    <row r="23" spans="1:21" ht="21" customHeight="1" x14ac:dyDescent="0.25">
      <c r="A23" s="464" t="s">
        <v>336</v>
      </c>
      <c r="B23" s="464"/>
      <c r="C23" s="465"/>
      <c r="D23" s="465"/>
      <c r="E23" s="465"/>
      <c r="F23" s="465"/>
      <c r="G23" s="465"/>
      <c r="H23" s="23">
        <f>SUM(H9:H22)</f>
        <v>6929.0000000000009</v>
      </c>
      <c r="I23" s="23">
        <f>SUM(I9:I22)</f>
        <v>7703.2</v>
      </c>
      <c r="J23" s="23">
        <f>SUM(J9:J22)</f>
        <v>7414.4000000000005</v>
      </c>
      <c r="K23" s="23">
        <f t="shared" ref="K23:Q23" si="3">SUM(K8:K22)</f>
        <v>7572.3</v>
      </c>
      <c r="L23" s="23">
        <f t="shared" si="3"/>
        <v>7980.7999999999993</v>
      </c>
      <c r="M23" s="23">
        <f t="shared" si="3"/>
        <v>8394.0999999999985</v>
      </c>
      <c r="N23" s="22">
        <f t="shared" si="3"/>
        <v>0</v>
      </c>
      <c r="O23" s="23">
        <f t="shared" si="3"/>
        <v>9059.7000000000007</v>
      </c>
      <c r="P23" s="23">
        <f t="shared" si="3"/>
        <v>8811.4</v>
      </c>
      <c r="Q23" s="23">
        <f t="shared" si="3"/>
        <v>9023.5</v>
      </c>
      <c r="R23" s="23">
        <f t="shared" si="0"/>
        <v>9023.5</v>
      </c>
      <c r="S23" s="23">
        <f t="shared" si="1"/>
        <v>81911.899999999994</v>
      </c>
      <c r="T23" s="37"/>
    </row>
    <row r="24" spans="1:21" s="121" customFormat="1" ht="30" customHeight="1" x14ac:dyDescent="0.2">
      <c r="A24" s="466" t="s">
        <v>543</v>
      </c>
      <c r="B24" s="466"/>
      <c r="C24" s="466"/>
      <c r="D24" s="466"/>
      <c r="E24" s="466"/>
      <c r="F24" s="466"/>
      <c r="G24" s="466"/>
      <c r="H24" s="466"/>
      <c r="I24" s="466"/>
      <c r="J24" s="466"/>
      <c r="K24" s="466"/>
      <c r="L24" s="466"/>
      <c r="M24" s="466"/>
      <c r="N24" s="466"/>
      <c r="O24" s="466"/>
      <c r="P24" s="466"/>
      <c r="Q24" s="466"/>
      <c r="R24" s="466"/>
      <c r="S24" s="466"/>
      <c r="T24" s="466"/>
    </row>
    <row r="25" spans="1:21" ht="35.1" customHeight="1" x14ac:dyDescent="0.25">
      <c r="A25" s="467" t="s">
        <v>349</v>
      </c>
      <c r="B25" s="468" t="s">
        <v>585</v>
      </c>
      <c r="C25" s="62" t="s">
        <v>17</v>
      </c>
      <c r="D25" s="371" t="s">
        <v>18</v>
      </c>
      <c r="E25" s="371" t="s">
        <v>333</v>
      </c>
      <c r="F25" s="371" t="s">
        <v>553</v>
      </c>
      <c r="G25" s="371" t="s">
        <v>314</v>
      </c>
      <c r="H25" s="22">
        <v>18.7</v>
      </c>
      <c r="I25" s="22"/>
      <c r="J25" s="22"/>
      <c r="K25" s="37"/>
      <c r="L25" s="37"/>
      <c r="M25" s="37"/>
      <c r="N25" s="39"/>
      <c r="O25" s="37"/>
      <c r="P25" s="37">
        <f>O25</f>
        <v>0</v>
      </c>
      <c r="Q25" s="37">
        <f>P25</f>
        <v>0</v>
      </c>
      <c r="R25" s="37">
        <f>Q25</f>
        <v>0</v>
      </c>
      <c r="S25" s="469">
        <f>SUM(H25:R25)</f>
        <v>18.7</v>
      </c>
      <c r="T25" s="468" t="s">
        <v>586</v>
      </c>
    </row>
    <row r="26" spans="1:21" ht="35.1" customHeight="1" x14ac:dyDescent="0.25">
      <c r="A26" s="470"/>
      <c r="B26" s="471"/>
      <c r="C26" s="224"/>
      <c r="D26" s="371" t="s">
        <v>18</v>
      </c>
      <c r="E26" s="371" t="s">
        <v>333</v>
      </c>
      <c r="F26" s="371" t="s">
        <v>553</v>
      </c>
      <c r="G26" s="371" t="s">
        <v>276</v>
      </c>
      <c r="H26" s="22"/>
      <c r="I26" s="22">
        <v>18.7</v>
      </c>
      <c r="J26" s="22"/>
      <c r="K26" s="452"/>
      <c r="L26" s="452"/>
      <c r="M26" s="452"/>
      <c r="N26" s="453"/>
      <c r="O26" s="452"/>
      <c r="P26" s="37">
        <f t="shared" ref="P26:R38" si="4">O26</f>
        <v>0</v>
      </c>
      <c r="Q26" s="37">
        <f t="shared" si="4"/>
        <v>0</v>
      </c>
      <c r="R26" s="37">
        <f t="shared" si="4"/>
        <v>0</v>
      </c>
      <c r="S26" s="469">
        <f t="shared" ref="S26:S38" si="5">SUM(H26:R26)</f>
        <v>18.7</v>
      </c>
      <c r="T26" s="471"/>
    </row>
    <row r="27" spans="1:21" ht="35.1" customHeight="1" x14ac:dyDescent="0.25">
      <c r="A27" s="467" t="s">
        <v>350</v>
      </c>
      <c r="B27" s="472" t="s">
        <v>587</v>
      </c>
      <c r="C27" s="62" t="s">
        <v>17</v>
      </c>
      <c r="D27" s="371" t="s">
        <v>18</v>
      </c>
      <c r="E27" s="371" t="s">
        <v>333</v>
      </c>
      <c r="F27" s="371" t="s">
        <v>553</v>
      </c>
      <c r="G27" s="371" t="s">
        <v>314</v>
      </c>
      <c r="H27" s="469">
        <v>13.05</v>
      </c>
      <c r="I27" s="22"/>
      <c r="J27" s="22"/>
      <c r="K27" s="23"/>
      <c r="L27" s="23"/>
      <c r="M27" s="23"/>
      <c r="N27" s="22"/>
      <c r="O27" s="23"/>
      <c r="P27" s="37">
        <f t="shared" si="4"/>
        <v>0</v>
      </c>
      <c r="Q27" s="37">
        <f t="shared" si="4"/>
        <v>0</v>
      </c>
      <c r="R27" s="37">
        <f t="shared" si="4"/>
        <v>0</v>
      </c>
      <c r="S27" s="469">
        <f t="shared" si="5"/>
        <v>13.05</v>
      </c>
      <c r="T27" s="468" t="s">
        <v>588</v>
      </c>
    </row>
    <row r="28" spans="1:21" ht="35.1" customHeight="1" x14ac:dyDescent="0.25">
      <c r="A28" s="470"/>
      <c r="B28" s="473"/>
      <c r="C28" s="224"/>
      <c r="D28" s="371" t="s">
        <v>18</v>
      </c>
      <c r="E28" s="371" t="s">
        <v>333</v>
      </c>
      <c r="F28" s="474" t="s">
        <v>553</v>
      </c>
      <c r="G28" s="474" t="s">
        <v>276</v>
      </c>
      <c r="H28" s="469">
        <v>16.25</v>
      </c>
      <c r="I28" s="469">
        <v>29.3</v>
      </c>
      <c r="J28" s="469"/>
      <c r="K28" s="452"/>
      <c r="L28" s="452"/>
      <c r="M28" s="452"/>
      <c r="N28" s="453"/>
      <c r="O28" s="452"/>
      <c r="P28" s="37">
        <f t="shared" si="4"/>
        <v>0</v>
      </c>
      <c r="Q28" s="37">
        <f t="shared" si="4"/>
        <v>0</v>
      </c>
      <c r="R28" s="37">
        <f t="shared" si="4"/>
        <v>0</v>
      </c>
      <c r="S28" s="469">
        <f t="shared" si="5"/>
        <v>45.55</v>
      </c>
      <c r="T28" s="471"/>
    </row>
    <row r="29" spans="1:21" ht="35.1" customHeight="1" x14ac:dyDescent="0.25">
      <c r="A29" s="475" t="s">
        <v>351</v>
      </c>
      <c r="B29" s="476" t="s">
        <v>589</v>
      </c>
      <c r="C29" s="62" t="s">
        <v>17</v>
      </c>
      <c r="D29" s="371" t="s">
        <v>18</v>
      </c>
      <c r="E29" s="229" t="s">
        <v>333</v>
      </c>
      <c r="F29" s="474" t="s">
        <v>553</v>
      </c>
      <c r="G29" s="474" t="s">
        <v>314</v>
      </c>
      <c r="H29" s="36">
        <v>13.7</v>
      </c>
      <c r="I29" s="36"/>
      <c r="J29" s="36"/>
      <c r="K29" s="36"/>
      <c r="L29" s="36"/>
      <c r="M29" s="36"/>
      <c r="N29" s="36"/>
      <c r="O29" s="36"/>
      <c r="P29" s="37">
        <f t="shared" si="4"/>
        <v>0</v>
      </c>
      <c r="Q29" s="37">
        <f t="shared" si="4"/>
        <v>0</v>
      </c>
      <c r="R29" s="37">
        <f t="shared" si="4"/>
        <v>0</v>
      </c>
      <c r="S29" s="469">
        <f t="shared" si="5"/>
        <v>13.7</v>
      </c>
      <c r="T29" s="477"/>
    </row>
    <row r="30" spans="1:21" ht="35.1" customHeight="1" x14ac:dyDescent="0.25">
      <c r="A30" s="478"/>
      <c r="B30" s="479"/>
      <c r="C30" s="64"/>
      <c r="D30" s="371" t="s">
        <v>18</v>
      </c>
      <c r="E30" s="480" t="s">
        <v>333</v>
      </c>
      <c r="F30" s="474" t="s">
        <v>553</v>
      </c>
      <c r="G30" s="474" t="s">
        <v>276</v>
      </c>
      <c r="H30" s="36"/>
      <c r="I30" s="36">
        <v>13.7</v>
      </c>
      <c r="J30" s="36"/>
      <c r="K30" s="36"/>
      <c r="L30" s="36"/>
      <c r="M30" s="36"/>
      <c r="N30" s="36"/>
      <c r="O30" s="36"/>
      <c r="P30" s="37">
        <f t="shared" si="4"/>
        <v>0</v>
      </c>
      <c r="Q30" s="37">
        <f t="shared" si="4"/>
        <v>0</v>
      </c>
      <c r="R30" s="37">
        <f t="shared" si="4"/>
        <v>0</v>
      </c>
      <c r="S30" s="469">
        <f t="shared" si="5"/>
        <v>13.7</v>
      </c>
      <c r="T30" s="481"/>
    </row>
    <row r="31" spans="1:21" ht="35.1" customHeight="1" x14ac:dyDescent="0.25">
      <c r="A31" s="478"/>
      <c r="B31" s="479"/>
      <c r="C31" s="64"/>
      <c r="D31" s="371" t="s">
        <v>18</v>
      </c>
      <c r="E31" s="229" t="s">
        <v>333</v>
      </c>
      <c r="F31" s="474" t="s">
        <v>590</v>
      </c>
      <c r="G31" s="474" t="s">
        <v>421</v>
      </c>
      <c r="H31" s="36"/>
      <c r="I31" s="36"/>
      <c r="J31" s="36"/>
      <c r="K31" s="34">
        <v>83</v>
      </c>
      <c r="L31" s="34"/>
      <c r="M31" s="34"/>
      <c r="N31" s="36"/>
      <c r="O31" s="34"/>
      <c r="P31" s="37">
        <f t="shared" si="4"/>
        <v>0</v>
      </c>
      <c r="Q31" s="37">
        <f t="shared" si="4"/>
        <v>0</v>
      </c>
      <c r="R31" s="37">
        <f t="shared" si="4"/>
        <v>0</v>
      </c>
      <c r="S31" s="469">
        <f t="shared" si="5"/>
        <v>83</v>
      </c>
      <c r="T31" s="481"/>
    </row>
    <row r="32" spans="1:21" ht="35.1" customHeight="1" x14ac:dyDescent="0.25">
      <c r="A32" s="478"/>
      <c r="B32" s="479"/>
      <c r="C32" s="64"/>
      <c r="D32" s="371" t="s">
        <v>18</v>
      </c>
      <c r="E32" s="480" t="s">
        <v>333</v>
      </c>
      <c r="F32" s="474" t="s">
        <v>590</v>
      </c>
      <c r="G32" s="474" t="s">
        <v>276</v>
      </c>
      <c r="H32" s="36"/>
      <c r="I32" s="36"/>
      <c r="J32" s="36"/>
      <c r="K32" s="34">
        <v>371.8</v>
      </c>
      <c r="L32" s="34"/>
      <c r="M32" s="34"/>
      <c r="N32" s="36"/>
      <c r="O32" s="34"/>
      <c r="P32" s="37">
        <f t="shared" si="4"/>
        <v>0</v>
      </c>
      <c r="Q32" s="37">
        <f t="shared" si="4"/>
        <v>0</v>
      </c>
      <c r="R32" s="37">
        <f t="shared" si="4"/>
        <v>0</v>
      </c>
      <c r="S32" s="469">
        <f t="shared" si="5"/>
        <v>371.8</v>
      </c>
      <c r="T32" s="481"/>
    </row>
    <row r="33" spans="1:20" ht="35.1" customHeight="1" x14ac:dyDescent="0.25">
      <c r="A33" s="482"/>
      <c r="B33" s="483"/>
      <c r="C33" s="224"/>
      <c r="D33" s="371" t="s">
        <v>18</v>
      </c>
      <c r="E33" s="229" t="s">
        <v>333</v>
      </c>
      <c r="F33" s="474" t="s">
        <v>591</v>
      </c>
      <c r="G33" s="474" t="s">
        <v>278</v>
      </c>
      <c r="H33" s="36"/>
      <c r="I33" s="36"/>
      <c r="J33" s="36"/>
      <c r="K33" s="34">
        <v>31.2</v>
      </c>
      <c r="L33" s="34"/>
      <c r="M33" s="34"/>
      <c r="N33" s="36"/>
      <c r="O33" s="34"/>
      <c r="P33" s="37">
        <f t="shared" si="4"/>
        <v>0</v>
      </c>
      <c r="Q33" s="37">
        <f t="shared" si="4"/>
        <v>0</v>
      </c>
      <c r="R33" s="37">
        <f t="shared" si="4"/>
        <v>0</v>
      </c>
      <c r="S33" s="469">
        <f t="shared" si="5"/>
        <v>31.2</v>
      </c>
      <c r="T33" s="484"/>
    </row>
    <row r="34" spans="1:20" s="148" customFormat="1" ht="35.1" customHeight="1" x14ac:dyDescent="0.25">
      <c r="A34" s="485" t="s">
        <v>490</v>
      </c>
      <c r="B34" s="485"/>
      <c r="C34" s="486"/>
      <c r="D34" s="486"/>
      <c r="E34" s="486"/>
      <c r="F34" s="486"/>
      <c r="G34" s="486"/>
      <c r="H34" s="23">
        <f>H25+H26+H27+H28+H29+H30</f>
        <v>61.7</v>
      </c>
      <c r="I34" s="23">
        <f>I25+I26+I27+I28+I29+I30</f>
        <v>61.7</v>
      </c>
      <c r="J34" s="23">
        <f>J25+J26+J27+J28+J29+J30</f>
        <v>0</v>
      </c>
      <c r="K34" s="23">
        <f>SUM(K26:K33)</f>
        <v>486</v>
      </c>
      <c r="L34" s="23">
        <f>SUM(L26:L33)</f>
        <v>0</v>
      </c>
      <c r="M34" s="23">
        <f>SUM(M26:M33)</f>
        <v>0</v>
      </c>
      <c r="N34" s="22">
        <f>SUM(N26:N33)</f>
        <v>0</v>
      </c>
      <c r="O34" s="23"/>
      <c r="P34" s="37">
        <f t="shared" si="4"/>
        <v>0</v>
      </c>
      <c r="Q34" s="37">
        <f t="shared" si="4"/>
        <v>0</v>
      </c>
      <c r="R34" s="37">
        <f t="shared" si="4"/>
        <v>0</v>
      </c>
      <c r="S34" s="469">
        <f t="shared" si="5"/>
        <v>609.4</v>
      </c>
      <c r="T34" s="34"/>
    </row>
    <row r="35" spans="1:20" ht="35.1" customHeight="1" x14ac:dyDescent="0.25">
      <c r="A35" s="487" t="s">
        <v>337</v>
      </c>
      <c r="B35" s="487"/>
      <c r="C35" s="291"/>
      <c r="D35" s="291"/>
      <c r="E35" s="291"/>
      <c r="F35" s="291"/>
      <c r="G35" s="291"/>
      <c r="H35" s="23">
        <f t="shared" ref="H35:M35" si="6">H23+H34</f>
        <v>6990.7000000000007</v>
      </c>
      <c r="I35" s="23">
        <f t="shared" si="6"/>
        <v>7764.9</v>
      </c>
      <c r="J35" s="23">
        <f t="shared" si="6"/>
        <v>7414.4000000000005</v>
      </c>
      <c r="K35" s="23">
        <f>K23+K34</f>
        <v>8058.3</v>
      </c>
      <c r="L35" s="23">
        <f t="shared" si="6"/>
        <v>7980.7999999999993</v>
      </c>
      <c r="M35" s="23">
        <f t="shared" si="6"/>
        <v>8394.0999999999985</v>
      </c>
      <c r="N35" s="22">
        <f>N23+N34</f>
        <v>0</v>
      </c>
      <c r="O35" s="23">
        <f>O23+O34</f>
        <v>9059.7000000000007</v>
      </c>
      <c r="P35" s="23">
        <f>P23+P34</f>
        <v>8811.4</v>
      </c>
      <c r="Q35" s="23">
        <f>Q23+Q34</f>
        <v>9023.5</v>
      </c>
      <c r="R35" s="37">
        <f t="shared" si="4"/>
        <v>9023.5</v>
      </c>
      <c r="S35" s="469">
        <f t="shared" si="5"/>
        <v>82521.299999999988</v>
      </c>
      <c r="T35" s="37"/>
    </row>
    <row r="36" spans="1:20" ht="35.1" customHeight="1" x14ac:dyDescent="0.25">
      <c r="A36" s="287" t="s">
        <v>338</v>
      </c>
      <c r="B36" s="288"/>
      <c r="C36" s="291"/>
      <c r="D36" s="291"/>
      <c r="E36" s="291"/>
      <c r="F36" s="291"/>
      <c r="G36" s="291"/>
      <c r="H36" s="23">
        <f>H14+H15+H20</f>
        <v>4599.6000000000004</v>
      </c>
      <c r="I36" s="23">
        <f>I14+I15+I20</f>
        <v>4788.3999999999996</v>
      </c>
      <c r="J36" s="23">
        <f>J14+J15+J20</f>
        <v>4560.6000000000004</v>
      </c>
      <c r="K36" s="23">
        <f>K14+K15+K20</f>
        <v>4565.7</v>
      </c>
      <c r="L36" s="23">
        <f t="shared" ref="L36:Q36" si="7">L14+L15+L20+L19</f>
        <v>5116.3999999999996</v>
      </c>
      <c r="M36" s="23">
        <f t="shared" si="7"/>
        <v>5258.7</v>
      </c>
      <c r="N36" s="22">
        <f t="shared" si="7"/>
        <v>0</v>
      </c>
      <c r="O36" s="23">
        <f t="shared" si="7"/>
        <v>6598.4</v>
      </c>
      <c r="P36" s="23">
        <f t="shared" si="7"/>
        <v>8811.4</v>
      </c>
      <c r="Q36" s="23">
        <f t="shared" si="7"/>
        <v>7391.5</v>
      </c>
      <c r="R36" s="37">
        <f t="shared" si="4"/>
        <v>7391.5</v>
      </c>
      <c r="S36" s="469">
        <f t="shared" si="5"/>
        <v>59082.2</v>
      </c>
      <c r="T36" s="37"/>
    </row>
    <row r="37" spans="1:20" ht="35.1" customHeight="1" x14ac:dyDescent="0.25">
      <c r="A37" s="287" t="s">
        <v>339</v>
      </c>
      <c r="B37" s="288"/>
      <c r="C37" s="291"/>
      <c r="D37" s="291"/>
      <c r="E37" s="291"/>
      <c r="F37" s="291"/>
      <c r="G37" s="291"/>
      <c r="H37" s="23">
        <f>H9+H10+H11+H12+H13+H16+H17+H21+H25+H26+H27+H28+H29+H30+H31+H32+H33</f>
        <v>1858.1</v>
      </c>
      <c r="I37" s="23">
        <f>I9+I10+I11+I12+I13+I16+I17+I21+I25+I26+I27+I28+I29+I30+I31+I32+I33</f>
        <v>2271.2999999999997</v>
      </c>
      <c r="J37" s="23">
        <f>J9+J10+J11+J12+J13+J16+J17+J21+J25+J26+J27+J28+J29+J30+J31+J32+J33</f>
        <v>2162.4</v>
      </c>
      <c r="K37" s="23">
        <f t="shared" ref="K37:Q37" si="8">K9+K10+K11+K12+K13+K16+K17+K21+K26+K27+K28+K29+K30+K31+K32+K33+K25</f>
        <v>2801.2</v>
      </c>
      <c r="L37" s="23">
        <f t="shared" si="8"/>
        <v>2173</v>
      </c>
      <c r="M37" s="23">
        <f t="shared" si="8"/>
        <v>2354.1999999999998</v>
      </c>
      <c r="N37" s="22">
        <f t="shared" si="8"/>
        <v>0</v>
      </c>
      <c r="O37" s="23">
        <f>O9+O10+O11+O12+O13+O16+O17+O21+O26+O27+O28+O29+O30+O31+O32+O33+O25</f>
        <v>2461.3000000000002</v>
      </c>
      <c r="P37" s="23">
        <f t="shared" si="8"/>
        <v>0</v>
      </c>
      <c r="Q37" s="23">
        <f t="shared" si="8"/>
        <v>1632</v>
      </c>
      <c r="R37" s="37">
        <f t="shared" si="4"/>
        <v>1632</v>
      </c>
      <c r="S37" s="469">
        <f t="shared" si="5"/>
        <v>19345.5</v>
      </c>
      <c r="T37" s="37"/>
    </row>
    <row r="38" spans="1:20" ht="35.1" customHeight="1" x14ac:dyDescent="0.25">
      <c r="A38" s="287" t="s">
        <v>340</v>
      </c>
      <c r="B38" s="288"/>
      <c r="C38" s="291"/>
      <c r="D38" s="291"/>
      <c r="E38" s="291"/>
      <c r="F38" s="291"/>
      <c r="G38" s="291"/>
      <c r="H38" s="23">
        <f t="shared" ref="H38:M38" si="9">H18</f>
        <v>533</v>
      </c>
      <c r="I38" s="23">
        <f t="shared" si="9"/>
        <v>705.2</v>
      </c>
      <c r="J38" s="23">
        <f t="shared" si="9"/>
        <v>691.4</v>
      </c>
      <c r="K38" s="23">
        <f t="shared" si="9"/>
        <v>691.4</v>
      </c>
      <c r="L38" s="23">
        <f t="shared" si="9"/>
        <v>691.4</v>
      </c>
      <c r="M38" s="23">
        <f t="shared" si="9"/>
        <v>781.19999999999993</v>
      </c>
      <c r="N38" s="22">
        <f>N18</f>
        <v>0</v>
      </c>
      <c r="O38" s="23">
        <f>O18</f>
        <v>0</v>
      </c>
      <c r="P38" s="108">
        <f t="shared" si="4"/>
        <v>0</v>
      </c>
      <c r="Q38" s="108">
        <f t="shared" si="4"/>
        <v>0</v>
      </c>
      <c r="R38" s="37">
        <f t="shared" si="4"/>
        <v>0</v>
      </c>
      <c r="S38" s="469">
        <f t="shared" si="5"/>
        <v>4093.6</v>
      </c>
      <c r="T38" s="37"/>
    </row>
    <row r="39" spans="1:20" s="493" customFormat="1" ht="35.1" customHeight="1" x14ac:dyDescent="0.25">
      <c r="A39" s="488"/>
      <c r="B39" s="488"/>
      <c r="C39" s="489"/>
      <c r="D39" s="489"/>
      <c r="E39" s="489"/>
      <c r="F39" s="489"/>
      <c r="G39" s="489"/>
      <c r="H39" s="489"/>
      <c r="I39" s="490"/>
      <c r="J39" s="490"/>
      <c r="K39" s="491"/>
      <c r="L39" s="491"/>
      <c r="M39" s="491"/>
      <c r="N39" s="492"/>
      <c r="O39" s="491"/>
      <c r="P39" s="491"/>
      <c r="Q39" s="491"/>
      <c r="R39" s="491"/>
      <c r="S39" s="491"/>
    </row>
    <row r="40" spans="1:20" ht="35.1" customHeight="1" x14ac:dyDescent="0.3">
      <c r="A40" s="494" t="s">
        <v>33</v>
      </c>
      <c r="B40" s="494"/>
      <c r="C40" s="494"/>
      <c r="D40" s="495"/>
      <c r="E40" s="495"/>
      <c r="F40" s="495"/>
      <c r="G40" s="495"/>
      <c r="H40" s="495"/>
      <c r="I40" s="496"/>
      <c r="J40" s="320"/>
      <c r="K40" s="320"/>
      <c r="L40" s="320"/>
      <c r="M40" s="320"/>
      <c r="N40" s="497"/>
      <c r="O40" s="320"/>
      <c r="P40" s="320"/>
      <c r="Q40" s="320"/>
      <c r="R40" s="320"/>
      <c r="S40" s="320"/>
      <c r="T40" s="498" t="s">
        <v>34</v>
      </c>
    </row>
    <row r="41" spans="1:20" x14ac:dyDescent="0.25">
      <c r="A41" s="302"/>
      <c r="B41" s="303"/>
      <c r="C41" s="304"/>
      <c r="D41" s="304"/>
      <c r="E41" s="304"/>
      <c r="F41" s="304"/>
      <c r="G41" s="304"/>
      <c r="H41" s="304"/>
    </row>
    <row r="42" spans="1:20" x14ac:dyDescent="0.25">
      <c r="A42" s="302"/>
      <c r="B42" s="303"/>
      <c r="C42" s="304"/>
      <c r="D42" s="304"/>
      <c r="E42" s="304"/>
      <c r="F42" s="304"/>
      <c r="G42" s="304"/>
      <c r="H42" s="304"/>
    </row>
    <row r="43" spans="1:20" x14ac:dyDescent="0.25">
      <c r="A43" s="302"/>
      <c r="B43" s="303"/>
      <c r="C43" s="304"/>
      <c r="D43" s="304"/>
      <c r="E43" s="304"/>
      <c r="F43" s="304"/>
      <c r="G43" s="304"/>
      <c r="H43" s="304"/>
    </row>
    <row r="44" spans="1:20" x14ac:dyDescent="0.25">
      <c r="A44" s="302"/>
      <c r="B44" s="303"/>
      <c r="C44" s="304"/>
      <c r="D44" s="304"/>
      <c r="E44" s="304"/>
      <c r="F44" s="304"/>
      <c r="G44" s="304"/>
      <c r="H44" s="304"/>
    </row>
    <row r="45" spans="1:20" x14ac:dyDescent="0.25">
      <c r="A45" s="302"/>
      <c r="B45" s="303"/>
      <c r="C45" s="304"/>
      <c r="D45" s="304"/>
      <c r="E45" s="304"/>
      <c r="F45" s="304"/>
      <c r="G45" s="304"/>
      <c r="H45" s="304"/>
    </row>
    <row r="46" spans="1:20" x14ac:dyDescent="0.25">
      <c r="A46" s="302"/>
      <c r="B46" s="303"/>
      <c r="C46" s="304"/>
      <c r="D46" s="304"/>
      <c r="E46" s="304"/>
      <c r="F46" s="304"/>
      <c r="G46" s="304"/>
      <c r="H46" s="304"/>
    </row>
    <row r="47" spans="1:20" x14ac:dyDescent="0.25">
      <c r="A47" s="302"/>
      <c r="B47" s="303"/>
      <c r="C47" s="304"/>
      <c r="D47" s="304"/>
      <c r="E47" s="304"/>
      <c r="F47" s="304"/>
      <c r="G47" s="304"/>
      <c r="H47" s="304"/>
    </row>
    <row r="48" spans="1:20" x14ac:dyDescent="0.25">
      <c r="A48" s="302"/>
      <c r="B48" s="303"/>
      <c r="C48" s="304"/>
      <c r="D48" s="304"/>
      <c r="E48" s="304"/>
      <c r="F48" s="304"/>
      <c r="G48" s="304"/>
      <c r="H48" s="304"/>
    </row>
    <row r="49" spans="1:8" x14ac:dyDescent="0.25">
      <c r="A49" s="302"/>
      <c r="B49" s="303"/>
      <c r="C49" s="304"/>
      <c r="D49" s="304"/>
      <c r="E49" s="304"/>
      <c r="F49" s="304"/>
      <c r="G49" s="304"/>
      <c r="H49" s="304"/>
    </row>
    <row r="50" spans="1:8" x14ac:dyDescent="0.25">
      <c r="A50" s="302"/>
      <c r="B50" s="303"/>
      <c r="C50" s="304"/>
      <c r="D50" s="304"/>
      <c r="E50" s="304"/>
      <c r="F50" s="304"/>
      <c r="G50" s="304"/>
      <c r="H50" s="304"/>
    </row>
    <row r="51" spans="1:8" x14ac:dyDescent="0.25">
      <c r="A51" s="302"/>
      <c r="B51" s="303"/>
      <c r="C51" s="304"/>
      <c r="D51" s="304"/>
      <c r="E51" s="304"/>
      <c r="F51" s="304"/>
      <c r="G51" s="304"/>
      <c r="H51" s="304"/>
    </row>
    <row r="52" spans="1:8" x14ac:dyDescent="0.25">
      <c r="A52" s="302"/>
      <c r="B52" s="303"/>
      <c r="C52" s="304"/>
      <c r="D52" s="304"/>
      <c r="E52" s="304"/>
      <c r="F52" s="304"/>
      <c r="G52" s="304"/>
      <c r="H52" s="304"/>
    </row>
    <row r="53" spans="1:8" x14ac:dyDescent="0.25">
      <c r="A53" s="302"/>
      <c r="B53" s="303"/>
      <c r="C53" s="304"/>
      <c r="D53" s="304"/>
      <c r="E53" s="304"/>
      <c r="F53" s="304"/>
      <c r="G53" s="304"/>
      <c r="H53" s="304"/>
    </row>
    <row r="54" spans="1:8" x14ac:dyDescent="0.25">
      <c r="A54" s="302"/>
      <c r="B54" s="303"/>
      <c r="C54" s="304"/>
      <c r="D54" s="304"/>
      <c r="E54" s="304"/>
      <c r="F54" s="304"/>
      <c r="G54" s="304"/>
      <c r="H54" s="304"/>
    </row>
    <row r="55" spans="1:8" x14ac:dyDescent="0.25">
      <c r="A55" s="302"/>
      <c r="B55" s="303"/>
      <c r="C55" s="304"/>
      <c r="D55" s="304"/>
      <c r="E55" s="304"/>
      <c r="F55" s="304"/>
      <c r="G55" s="304"/>
      <c r="H55" s="304"/>
    </row>
    <row r="56" spans="1:8" x14ac:dyDescent="0.25">
      <c r="A56" s="302"/>
      <c r="B56" s="303"/>
      <c r="C56" s="304"/>
      <c r="D56" s="304"/>
      <c r="E56" s="304"/>
      <c r="F56" s="304"/>
      <c r="G56" s="304"/>
      <c r="H56" s="304"/>
    </row>
    <row r="57" spans="1:8" x14ac:dyDescent="0.25">
      <c r="A57" s="302"/>
      <c r="B57" s="303"/>
      <c r="C57" s="304"/>
      <c r="D57" s="304"/>
      <c r="E57" s="304"/>
      <c r="F57" s="304"/>
      <c r="G57" s="304"/>
      <c r="H57" s="304"/>
    </row>
    <row r="58" spans="1:8" x14ac:dyDescent="0.25">
      <c r="A58" s="302"/>
      <c r="B58" s="303"/>
      <c r="C58" s="304"/>
      <c r="D58" s="304"/>
      <c r="E58" s="304"/>
      <c r="F58" s="304"/>
      <c r="G58" s="304"/>
      <c r="H58" s="304"/>
    </row>
    <row r="59" spans="1:8" x14ac:dyDescent="0.25">
      <c r="A59" s="302"/>
      <c r="B59" s="303"/>
      <c r="C59" s="304"/>
      <c r="D59" s="304"/>
      <c r="E59" s="304"/>
      <c r="F59" s="304"/>
      <c r="G59" s="304"/>
      <c r="H59" s="304"/>
    </row>
    <row r="60" spans="1:8" x14ac:dyDescent="0.25">
      <c r="A60" s="302"/>
      <c r="B60" s="303"/>
      <c r="C60" s="304"/>
      <c r="D60" s="304"/>
      <c r="E60" s="304"/>
      <c r="F60" s="304"/>
      <c r="G60" s="304"/>
      <c r="H60" s="304"/>
    </row>
    <row r="61" spans="1:8" x14ac:dyDescent="0.25">
      <c r="A61" s="302"/>
      <c r="B61" s="303"/>
      <c r="C61" s="304"/>
      <c r="D61" s="304"/>
      <c r="E61" s="304"/>
      <c r="F61" s="304"/>
      <c r="G61" s="304"/>
      <c r="H61" s="304"/>
    </row>
    <row r="62" spans="1:8" x14ac:dyDescent="0.25">
      <c r="A62" s="302"/>
      <c r="B62" s="303"/>
      <c r="C62" s="304"/>
      <c r="D62" s="304"/>
      <c r="E62" s="304"/>
      <c r="F62" s="304"/>
      <c r="G62" s="304"/>
      <c r="H62" s="304"/>
    </row>
    <row r="63" spans="1:8" x14ac:dyDescent="0.25">
      <c r="A63" s="302"/>
      <c r="B63" s="303"/>
      <c r="C63" s="304"/>
      <c r="D63" s="304"/>
      <c r="E63" s="304"/>
      <c r="F63" s="304"/>
      <c r="G63" s="304"/>
      <c r="H63" s="304"/>
    </row>
    <row r="64" spans="1:8" x14ac:dyDescent="0.25">
      <c r="A64" s="302"/>
      <c r="B64" s="303"/>
      <c r="C64" s="304"/>
      <c r="D64" s="304"/>
      <c r="E64" s="304"/>
      <c r="F64" s="304"/>
      <c r="G64" s="304"/>
      <c r="H64" s="304"/>
    </row>
    <row r="65" spans="1:8" x14ac:dyDescent="0.25">
      <c r="A65" s="302"/>
      <c r="B65" s="303"/>
      <c r="C65" s="304"/>
      <c r="D65" s="304"/>
      <c r="E65" s="304"/>
      <c r="F65" s="304"/>
      <c r="G65" s="304"/>
      <c r="H65" s="304"/>
    </row>
    <row r="66" spans="1:8" x14ac:dyDescent="0.25">
      <c r="A66" s="302"/>
      <c r="B66" s="303"/>
      <c r="C66" s="304"/>
      <c r="D66" s="304"/>
      <c r="E66" s="304"/>
      <c r="F66" s="304"/>
      <c r="G66" s="304"/>
      <c r="H66" s="304"/>
    </row>
    <row r="67" spans="1:8" x14ac:dyDescent="0.25">
      <c r="A67" s="302"/>
      <c r="B67" s="303"/>
      <c r="C67" s="304"/>
      <c r="D67" s="304"/>
      <c r="E67" s="304"/>
      <c r="F67" s="304"/>
      <c r="G67" s="304"/>
      <c r="H67" s="304"/>
    </row>
    <row r="68" spans="1:8" x14ac:dyDescent="0.25">
      <c r="A68" s="302"/>
      <c r="B68" s="303"/>
      <c r="C68" s="304"/>
      <c r="D68" s="304"/>
      <c r="E68" s="304"/>
      <c r="F68" s="304"/>
      <c r="G68" s="304"/>
      <c r="H68" s="304"/>
    </row>
    <row r="69" spans="1:8" x14ac:dyDescent="0.25">
      <c r="A69" s="302"/>
      <c r="B69" s="303"/>
      <c r="C69" s="304"/>
      <c r="D69" s="304"/>
      <c r="E69" s="304"/>
      <c r="F69" s="304"/>
      <c r="G69" s="304"/>
      <c r="H69" s="304"/>
    </row>
    <row r="70" spans="1:8" x14ac:dyDescent="0.25">
      <c r="A70" s="302"/>
      <c r="B70" s="303"/>
      <c r="C70" s="304"/>
      <c r="D70" s="304"/>
      <c r="E70" s="304"/>
      <c r="F70" s="304"/>
      <c r="G70" s="304"/>
      <c r="H70" s="304"/>
    </row>
    <row r="71" spans="1:8" x14ac:dyDescent="0.25">
      <c r="A71" s="302"/>
      <c r="B71" s="303"/>
      <c r="C71" s="304"/>
      <c r="D71" s="304"/>
      <c r="E71" s="304"/>
      <c r="F71" s="304"/>
      <c r="G71" s="304"/>
      <c r="H71" s="304"/>
    </row>
    <row r="72" spans="1:8" x14ac:dyDescent="0.25">
      <c r="A72" s="302"/>
      <c r="B72" s="303"/>
      <c r="C72" s="304"/>
      <c r="D72" s="304"/>
      <c r="E72" s="304"/>
      <c r="F72" s="304"/>
      <c r="G72" s="304"/>
      <c r="H72" s="304"/>
    </row>
    <row r="73" spans="1:8" x14ac:dyDescent="0.25">
      <c r="A73" s="302"/>
      <c r="B73" s="303"/>
      <c r="C73" s="304"/>
      <c r="D73" s="304"/>
      <c r="E73" s="304"/>
      <c r="F73" s="304"/>
      <c r="G73" s="304"/>
      <c r="H73" s="304"/>
    </row>
    <row r="74" spans="1:8" x14ac:dyDescent="0.25">
      <c r="A74" s="302"/>
      <c r="B74" s="303"/>
      <c r="C74" s="304"/>
      <c r="D74" s="304"/>
      <c r="E74" s="304"/>
      <c r="F74" s="304"/>
      <c r="G74" s="304"/>
      <c r="H74" s="304"/>
    </row>
    <row r="75" spans="1:8" x14ac:dyDescent="0.25">
      <c r="A75" s="302"/>
      <c r="B75" s="303"/>
      <c r="C75" s="304"/>
      <c r="D75" s="304"/>
      <c r="E75" s="304"/>
      <c r="F75" s="304"/>
      <c r="G75" s="304"/>
      <c r="H75" s="304"/>
    </row>
    <row r="76" spans="1:8" x14ac:dyDescent="0.25">
      <c r="A76" s="302"/>
      <c r="B76" s="303"/>
      <c r="C76" s="304"/>
      <c r="D76" s="304"/>
      <c r="E76" s="304"/>
      <c r="F76" s="304"/>
      <c r="G76" s="304"/>
      <c r="H76" s="304"/>
    </row>
    <row r="77" spans="1:8" x14ac:dyDescent="0.25">
      <c r="A77" s="302"/>
      <c r="B77" s="303"/>
      <c r="C77" s="304"/>
      <c r="D77" s="304"/>
      <c r="E77" s="304"/>
      <c r="F77" s="304"/>
      <c r="G77" s="304"/>
      <c r="H77" s="304"/>
    </row>
  </sheetData>
  <autoFilter ref="A4:U35"/>
  <mergeCells count="45">
    <mergeCell ref="A40:C40"/>
    <mergeCell ref="A34:B34"/>
    <mergeCell ref="A35:B35"/>
    <mergeCell ref="A36:B36"/>
    <mergeCell ref="A37:B37"/>
    <mergeCell ref="A38:B38"/>
    <mergeCell ref="A39:B39"/>
    <mergeCell ref="A27:A28"/>
    <mergeCell ref="B27:B28"/>
    <mergeCell ref="C27:C28"/>
    <mergeCell ref="T27:T28"/>
    <mergeCell ref="A29:A33"/>
    <mergeCell ref="B29:B33"/>
    <mergeCell ref="C29:C33"/>
    <mergeCell ref="T29:T33"/>
    <mergeCell ref="A23:B23"/>
    <mergeCell ref="A24:T24"/>
    <mergeCell ref="A25:A26"/>
    <mergeCell ref="B25:B26"/>
    <mergeCell ref="C25:C26"/>
    <mergeCell ref="T25:T26"/>
    <mergeCell ref="A12:A13"/>
    <mergeCell ref="B12:B13"/>
    <mergeCell ref="C12:C13"/>
    <mergeCell ref="T12:T13"/>
    <mergeCell ref="A14:A18"/>
    <mergeCell ref="B14:B15"/>
    <mergeCell ref="C14:C18"/>
    <mergeCell ref="T14:T18"/>
    <mergeCell ref="B16:B17"/>
    <mergeCell ref="A5:T5"/>
    <mergeCell ref="A7:T7"/>
    <mergeCell ref="A8:A10"/>
    <mergeCell ref="B8:B10"/>
    <mergeCell ref="C8:C10"/>
    <mergeCell ref="T9:T10"/>
    <mergeCell ref="I1:J1"/>
    <mergeCell ref="S1:T1"/>
    <mergeCell ref="A2:T2"/>
    <mergeCell ref="A3:A4"/>
    <mergeCell ref="B3:B4"/>
    <mergeCell ref="C3:C4"/>
    <mergeCell ref="D3:G3"/>
    <mergeCell ref="I3:S3"/>
    <mergeCell ref="T3:T4"/>
  </mergeCells>
  <pageMargins left="0.51181102362204722" right="0.39370078740157483" top="0.55118110236220474" bottom="0.35433070866141736" header="0.31496062992125984" footer="0.31496062992125984"/>
  <pageSetup paperSize="9" scale="44" fitToHeight="0" orientation="landscape" r:id="rId1"/>
  <headerFooter differentFirst="1">
    <oddHeader>&amp;C&amp;P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O37"/>
  <sheetViews>
    <sheetView view="pageBreakPreview" zoomScaleNormal="100" zoomScaleSheetLayoutView="100" workbookViewId="0">
      <pane xSplit="2" ySplit="6" topLeftCell="G14" activePane="bottomRight" state="frozen"/>
      <selection activeCell="Q12" sqref="Q12"/>
      <selection pane="topRight" activeCell="Q12" sqref="Q12"/>
      <selection pane="bottomLeft" activeCell="Q12" sqref="Q12"/>
      <selection pane="bottomRight" activeCell="H17" sqref="H17"/>
    </sheetView>
  </sheetViews>
  <sheetFormatPr defaultRowHeight="15.75" x14ac:dyDescent="0.25"/>
  <cols>
    <col min="1" max="1" width="7.5703125" style="188" customWidth="1"/>
    <col min="2" max="2" width="79.140625" style="53" customWidth="1"/>
    <col min="3" max="3" width="12" style="53" customWidth="1"/>
    <col min="4" max="4" width="24.42578125" style="53" customWidth="1"/>
    <col min="5" max="11" width="10.7109375" style="53" customWidth="1"/>
    <col min="12" max="12" width="10.7109375" style="117" customWidth="1"/>
    <col min="13" max="13" width="9.140625" style="499"/>
    <col min="14" max="16384" width="9.140625" style="53"/>
  </cols>
  <sheetData>
    <row r="1" spans="1:15" ht="50.25" customHeight="1" x14ac:dyDescent="0.25">
      <c r="A1" s="112"/>
      <c r="B1" s="113"/>
      <c r="C1" s="114"/>
      <c r="D1" s="113"/>
      <c r="E1" s="115" t="s">
        <v>592</v>
      </c>
      <c r="F1" s="115"/>
      <c r="G1" s="115"/>
      <c r="H1" s="115"/>
      <c r="I1" s="115"/>
      <c r="J1" s="115"/>
      <c r="K1" s="115"/>
      <c r="L1" s="115"/>
      <c r="M1" s="115"/>
      <c r="N1" s="115"/>
      <c r="O1" s="115"/>
    </row>
    <row r="2" spans="1:15" ht="37.5" customHeight="1" x14ac:dyDescent="0.25">
      <c r="A2" s="213" t="s">
        <v>254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</row>
    <row r="3" spans="1:15" ht="25.5" customHeight="1" x14ac:dyDescent="0.25">
      <c r="A3" s="118" t="s">
        <v>97</v>
      </c>
      <c r="B3" s="119" t="s">
        <v>255</v>
      </c>
      <c r="C3" s="119" t="s">
        <v>99</v>
      </c>
      <c r="D3" s="119" t="s">
        <v>101</v>
      </c>
      <c r="E3" s="50" t="s">
        <v>41</v>
      </c>
      <c r="F3" s="50" t="s">
        <v>42</v>
      </c>
      <c r="G3" s="50" t="s">
        <v>43</v>
      </c>
      <c r="H3" s="50" t="s">
        <v>44</v>
      </c>
      <c r="I3" s="50" t="s">
        <v>45</v>
      </c>
      <c r="J3" s="50" t="s">
        <v>46</v>
      </c>
      <c r="K3" s="50" t="s">
        <v>47</v>
      </c>
      <c r="L3" s="50" t="s">
        <v>48</v>
      </c>
      <c r="M3" s="50" t="s">
        <v>49</v>
      </c>
      <c r="N3" s="50" t="s">
        <v>50</v>
      </c>
      <c r="O3" s="50" t="s">
        <v>51</v>
      </c>
    </row>
    <row r="4" spans="1:15" ht="12" customHeight="1" x14ac:dyDescent="0.25">
      <c r="A4" s="118"/>
      <c r="B4" s="119"/>
      <c r="C4" s="119"/>
      <c r="D4" s="119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25.5" customHeight="1" x14ac:dyDescent="0.25">
      <c r="A5" s="118"/>
      <c r="B5" s="119"/>
      <c r="C5" s="119"/>
      <c r="D5" s="119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27" customHeight="1" x14ac:dyDescent="0.25">
      <c r="A6" s="500" t="s">
        <v>593</v>
      </c>
      <c r="B6" s="500"/>
      <c r="C6" s="500"/>
      <c r="D6" s="500"/>
      <c r="E6" s="500"/>
      <c r="F6" s="500"/>
      <c r="G6" s="500"/>
      <c r="H6" s="500"/>
      <c r="I6" s="500"/>
      <c r="J6" s="500"/>
      <c r="K6" s="500"/>
      <c r="L6" s="501"/>
    </row>
    <row r="7" spans="1:15" ht="33" customHeight="1" x14ac:dyDescent="0.25">
      <c r="A7" s="251" t="s">
        <v>594</v>
      </c>
      <c r="B7" s="251"/>
      <c r="C7" s="251"/>
      <c r="D7" s="251"/>
      <c r="E7" s="251"/>
      <c r="F7" s="251"/>
      <c r="G7" s="251"/>
      <c r="H7" s="251"/>
      <c r="I7" s="251"/>
      <c r="J7" s="251"/>
      <c r="K7" s="251"/>
      <c r="L7" s="501"/>
    </row>
    <row r="8" spans="1:15" ht="42" customHeight="1" x14ac:dyDescent="0.25">
      <c r="A8" s="123" t="s">
        <v>595</v>
      </c>
      <c r="B8" s="125" t="s">
        <v>190</v>
      </c>
      <c r="C8" s="123" t="s">
        <v>191</v>
      </c>
      <c r="D8" s="123" t="s">
        <v>21</v>
      </c>
      <c r="E8" s="12">
        <v>1460</v>
      </c>
      <c r="F8" s="502">
        <v>1470</v>
      </c>
      <c r="G8" s="123">
        <v>1470</v>
      </c>
      <c r="H8" s="123">
        <v>2863</v>
      </c>
      <c r="I8" s="123">
        <v>3174</v>
      </c>
      <c r="J8" s="123">
        <v>3205</v>
      </c>
      <c r="K8" s="123">
        <v>3199</v>
      </c>
      <c r="L8" s="123">
        <v>3378</v>
      </c>
      <c r="M8" s="123">
        <v>3574</v>
      </c>
      <c r="N8" s="108">
        <v>3574</v>
      </c>
      <c r="O8" s="108">
        <v>3574</v>
      </c>
    </row>
    <row r="9" spans="1:15" ht="31.5" x14ac:dyDescent="0.25">
      <c r="A9" s="123" t="s">
        <v>192</v>
      </c>
      <c r="B9" s="125" t="s">
        <v>193</v>
      </c>
      <c r="C9" s="123" t="s">
        <v>191</v>
      </c>
      <c r="D9" s="123" t="s">
        <v>21</v>
      </c>
      <c r="E9" s="12">
        <v>28870</v>
      </c>
      <c r="F9" s="502">
        <v>29600</v>
      </c>
      <c r="G9" s="123">
        <v>30690</v>
      </c>
      <c r="H9" s="123">
        <v>32180</v>
      </c>
      <c r="I9" s="123">
        <v>33390</v>
      </c>
      <c r="J9" s="123">
        <v>38561</v>
      </c>
      <c r="K9" s="123">
        <v>38575</v>
      </c>
      <c r="L9" s="123">
        <v>42480</v>
      </c>
      <c r="M9" s="123">
        <v>44309</v>
      </c>
      <c r="N9" s="108">
        <v>44309</v>
      </c>
      <c r="O9" s="108">
        <v>44309</v>
      </c>
    </row>
    <row r="10" spans="1:15" ht="63" x14ac:dyDescent="0.25">
      <c r="A10" s="123" t="s">
        <v>194</v>
      </c>
      <c r="B10" s="125" t="s">
        <v>195</v>
      </c>
      <c r="C10" s="123" t="s">
        <v>191</v>
      </c>
      <c r="D10" s="123" t="s">
        <v>21</v>
      </c>
      <c r="E10" s="12">
        <v>17972</v>
      </c>
      <c r="F10" s="502">
        <v>18638</v>
      </c>
      <c r="G10" s="123">
        <v>19328</v>
      </c>
      <c r="H10" s="123">
        <v>21911</v>
      </c>
      <c r="I10" s="123">
        <v>24405</v>
      </c>
      <c r="J10" s="123">
        <v>28687</v>
      </c>
      <c r="K10" s="123">
        <v>32078</v>
      </c>
      <c r="L10" s="123">
        <v>33427</v>
      </c>
      <c r="M10" s="123">
        <v>33570</v>
      </c>
      <c r="N10" s="108">
        <f t="shared" ref="N10:O25" si="0">M10</f>
        <v>33570</v>
      </c>
      <c r="O10" s="108">
        <f t="shared" si="0"/>
        <v>33570</v>
      </c>
    </row>
    <row r="11" spans="1:15" ht="31.5" x14ac:dyDescent="0.25">
      <c r="A11" s="123" t="s">
        <v>196</v>
      </c>
      <c r="B11" s="125" t="s">
        <v>197</v>
      </c>
      <c r="C11" s="123" t="s">
        <v>198</v>
      </c>
      <c r="D11" s="123" t="s">
        <v>110</v>
      </c>
      <c r="E11" s="12">
        <v>25.02</v>
      </c>
      <c r="F11" s="11">
        <v>25</v>
      </c>
      <c r="G11" s="123">
        <v>25</v>
      </c>
      <c r="H11" s="123">
        <v>23.9</v>
      </c>
      <c r="I11" s="123">
        <v>24</v>
      </c>
      <c r="J11" s="123">
        <v>24</v>
      </c>
      <c r="K11" s="123">
        <v>24</v>
      </c>
      <c r="L11" s="123">
        <v>25</v>
      </c>
      <c r="M11" s="123">
        <v>25</v>
      </c>
      <c r="N11" s="108">
        <v>25</v>
      </c>
      <c r="O11" s="108">
        <f t="shared" si="0"/>
        <v>25</v>
      </c>
    </row>
    <row r="12" spans="1:15" ht="31.5" x14ac:dyDescent="0.25">
      <c r="A12" s="123" t="s">
        <v>199</v>
      </c>
      <c r="B12" s="125" t="s">
        <v>200</v>
      </c>
      <c r="C12" s="123" t="s">
        <v>198</v>
      </c>
      <c r="D12" s="123" t="s">
        <v>110</v>
      </c>
      <c r="E12" s="12">
        <v>18.82</v>
      </c>
      <c r="F12" s="11">
        <v>18.82</v>
      </c>
      <c r="G12" s="123">
        <v>18.8</v>
      </c>
      <c r="H12" s="123">
        <v>17</v>
      </c>
      <c r="I12" s="123">
        <v>17</v>
      </c>
      <c r="J12" s="123">
        <v>17</v>
      </c>
      <c r="K12" s="123">
        <v>17</v>
      </c>
      <c r="L12" s="123">
        <v>17</v>
      </c>
      <c r="M12" s="123">
        <v>16</v>
      </c>
      <c r="N12" s="108">
        <f t="shared" si="0"/>
        <v>16</v>
      </c>
      <c r="O12" s="108">
        <f t="shared" si="0"/>
        <v>16</v>
      </c>
    </row>
    <row r="13" spans="1:15" ht="78.75" x14ac:dyDescent="0.25">
      <c r="A13" s="123" t="s">
        <v>201</v>
      </c>
      <c r="B13" s="125" t="s">
        <v>202</v>
      </c>
      <c r="C13" s="123" t="s">
        <v>203</v>
      </c>
      <c r="D13" s="123" t="s">
        <v>110</v>
      </c>
      <c r="E13" s="12">
        <v>0.7</v>
      </c>
      <c r="F13" s="11">
        <v>0.7</v>
      </c>
      <c r="G13" s="123">
        <v>0.7</v>
      </c>
      <c r="H13" s="123">
        <v>0.7</v>
      </c>
      <c r="I13" s="123">
        <v>0.7</v>
      </c>
      <c r="J13" s="123">
        <v>0.7</v>
      </c>
      <c r="K13" s="123">
        <v>0.7</v>
      </c>
      <c r="L13" s="123">
        <v>0.5</v>
      </c>
      <c r="M13" s="123">
        <v>0.9</v>
      </c>
      <c r="N13" s="108">
        <v>0.9</v>
      </c>
      <c r="O13" s="108">
        <f t="shared" si="0"/>
        <v>0.9</v>
      </c>
    </row>
    <row r="14" spans="1:15" ht="31.5" x14ac:dyDescent="0.25">
      <c r="A14" s="123" t="s">
        <v>204</v>
      </c>
      <c r="B14" s="125" t="s">
        <v>205</v>
      </c>
      <c r="C14" s="123" t="s">
        <v>140</v>
      </c>
      <c r="D14" s="123" t="s">
        <v>21</v>
      </c>
      <c r="E14" s="123">
        <v>18</v>
      </c>
      <c r="F14" s="123">
        <v>18</v>
      </c>
      <c r="G14" s="123">
        <v>18</v>
      </c>
      <c r="H14" s="123">
        <v>14</v>
      </c>
      <c r="I14" s="123">
        <v>14</v>
      </c>
      <c r="J14" s="123">
        <v>14</v>
      </c>
      <c r="K14" s="123">
        <v>14</v>
      </c>
      <c r="L14" s="123">
        <v>14</v>
      </c>
      <c r="M14" s="123">
        <v>6</v>
      </c>
      <c r="N14" s="108">
        <v>14</v>
      </c>
      <c r="O14" s="108">
        <f t="shared" si="0"/>
        <v>14</v>
      </c>
    </row>
    <row r="15" spans="1:15" ht="68.25" customHeight="1" x14ac:dyDescent="0.25">
      <c r="A15" s="123" t="s">
        <v>206</v>
      </c>
      <c r="B15" s="125" t="s">
        <v>207</v>
      </c>
      <c r="C15" s="123" t="s">
        <v>208</v>
      </c>
      <c r="D15" s="123" t="s">
        <v>209</v>
      </c>
      <c r="E15" s="123">
        <v>5</v>
      </c>
      <c r="F15" s="123">
        <v>5</v>
      </c>
      <c r="G15" s="123">
        <v>5</v>
      </c>
      <c r="H15" s="123">
        <v>5</v>
      </c>
      <c r="I15" s="123">
        <v>5</v>
      </c>
      <c r="J15" s="123">
        <v>5</v>
      </c>
      <c r="K15" s="123">
        <v>5</v>
      </c>
      <c r="L15" s="123">
        <v>5</v>
      </c>
      <c r="M15" s="123">
        <v>5</v>
      </c>
      <c r="N15" s="108">
        <f t="shared" si="0"/>
        <v>5</v>
      </c>
      <c r="O15" s="108">
        <f t="shared" si="0"/>
        <v>5</v>
      </c>
    </row>
    <row r="16" spans="1:15" ht="72.75" customHeight="1" x14ac:dyDescent="0.25">
      <c r="A16" s="35" t="s">
        <v>210</v>
      </c>
      <c r="B16" s="503" t="s">
        <v>211</v>
      </c>
      <c r="C16" s="123" t="s">
        <v>208</v>
      </c>
      <c r="D16" s="123" t="s">
        <v>209</v>
      </c>
      <c r="E16" s="34">
        <v>5</v>
      </c>
      <c r="F16" s="34">
        <v>5</v>
      </c>
      <c r="G16" s="34">
        <v>5</v>
      </c>
      <c r="H16" s="34">
        <v>5</v>
      </c>
      <c r="I16" s="34">
        <v>5</v>
      </c>
      <c r="J16" s="34">
        <v>5</v>
      </c>
      <c r="K16" s="34">
        <v>5</v>
      </c>
      <c r="L16" s="34">
        <v>5</v>
      </c>
      <c r="M16" s="34">
        <v>5</v>
      </c>
      <c r="N16" s="108">
        <f t="shared" si="0"/>
        <v>5</v>
      </c>
      <c r="O16" s="108">
        <f t="shared" si="0"/>
        <v>5</v>
      </c>
    </row>
    <row r="17" spans="1:15" ht="157.5" x14ac:dyDescent="0.25">
      <c r="A17" s="35" t="s">
        <v>212</v>
      </c>
      <c r="B17" s="175" t="s">
        <v>596</v>
      </c>
      <c r="C17" s="123" t="s">
        <v>208</v>
      </c>
      <c r="D17" s="123" t="s">
        <v>209</v>
      </c>
      <c r="E17" s="34">
        <v>5</v>
      </c>
      <c r="F17" s="34">
        <v>5</v>
      </c>
      <c r="G17" s="34">
        <v>5</v>
      </c>
      <c r="H17" s="34">
        <v>5</v>
      </c>
      <c r="I17" s="34">
        <v>5</v>
      </c>
      <c r="J17" s="34">
        <v>5</v>
      </c>
      <c r="K17" s="34">
        <v>5</v>
      </c>
      <c r="L17" s="34">
        <v>5</v>
      </c>
      <c r="M17" s="34">
        <v>5</v>
      </c>
      <c r="N17" s="108">
        <f t="shared" si="0"/>
        <v>5</v>
      </c>
      <c r="O17" s="108">
        <f t="shared" si="0"/>
        <v>5</v>
      </c>
    </row>
    <row r="18" spans="1:15" ht="94.5" x14ac:dyDescent="0.25">
      <c r="A18" s="35" t="s">
        <v>214</v>
      </c>
      <c r="B18" s="175" t="s">
        <v>215</v>
      </c>
      <c r="C18" s="123" t="s">
        <v>208</v>
      </c>
      <c r="D18" s="123" t="s">
        <v>209</v>
      </c>
      <c r="E18" s="34">
        <v>5</v>
      </c>
      <c r="F18" s="34">
        <v>5</v>
      </c>
      <c r="G18" s="34">
        <v>5</v>
      </c>
      <c r="H18" s="34">
        <v>5</v>
      </c>
      <c r="I18" s="34">
        <v>5</v>
      </c>
      <c r="J18" s="34">
        <v>5</v>
      </c>
      <c r="K18" s="34">
        <v>5</v>
      </c>
      <c r="L18" s="34">
        <v>5</v>
      </c>
      <c r="M18" s="34">
        <v>5</v>
      </c>
      <c r="N18" s="108">
        <f t="shared" si="0"/>
        <v>5</v>
      </c>
      <c r="O18" s="108">
        <f t="shared" si="0"/>
        <v>5</v>
      </c>
    </row>
    <row r="19" spans="1:15" ht="63" x14ac:dyDescent="0.25">
      <c r="A19" s="35" t="s">
        <v>216</v>
      </c>
      <c r="B19" s="175" t="s">
        <v>217</v>
      </c>
      <c r="C19" s="123" t="s">
        <v>208</v>
      </c>
      <c r="D19" s="123" t="s">
        <v>597</v>
      </c>
      <c r="E19" s="34">
        <v>5</v>
      </c>
      <c r="F19" s="34">
        <v>5</v>
      </c>
      <c r="G19" s="34">
        <v>5</v>
      </c>
      <c r="H19" s="34">
        <v>5</v>
      </c>
      <c r="I19" s="34">
        <v>5</v>
      </c>
      <c r="J19" s="34">
        <v>5</v>
      </c>
      <c r="K19" s="34">
        <v>5</v>
      </c>
      <c r="L19" s="34">
        <v>5</v>
      </c>
      <c r="M19" s="34">
        <v>5</v>
      </c>
      <c r="N19" s="108">
        <f t="shared" si="0"/>
        <v>5</v>
      </c>
      <c r="O19" s="108">
        <f t="shared" si="0"/>
        <v>5</v>
      </c>
    </row>
    <row r="20" spans="1:15" ht="63" x14ac:dyDescent="0.25">
      <c r="A20" s="35" t="s">
        <v>218</v>
      </c>
      <c r="B20" s="175" t="s">
        <v>598</v>
      </c>
      <c r="C20" s="123" t="s">
        <v>208</v>
      </c>
      <c r="D20" s="123" t="s">
        <v>597</v>
      </c>
      <c r="E20" s="34">
        <v>5</v>
      </c>
      <c r="F20" s="34">
        <v>5</v>
      </c>
      <c r="G20" s="34">
        <v>5</v>
      </c>
      <c r="H20" s="34">
        <v>5</v>
      </c>
      <c r="I20" s="34">
        <v>5</v>
      </c>
      <c r="J20" s="34">
        <v>5</v>
      </c>
      <c r="K20" s="34">
        <v>5</v>
      </c>
      <c r="L20" s="34">
        <v>5</v>
      </c>
      <c r="M20" s="34">
        <v>5</v>
      </c>
      <c r="N20" s="108">
        <f t="shared" si="0"/>
        <v>5</v>
      </c>
      <c r="O20" s="108">
        <f t="shared" si="0"/>
        <v>5</v>
      </c>
    </row>
    <row r="21" spans="1:15" ht="63" x14ac:dyDescent="0.25">
      <c r="A21" s="35" t="s">
        <v>220</v>
      </c>
      <c r="B21" s="175" t="s">
        <v>221</v>
      </c>
      <c r="C21" s="123" t="s">
        <v>208</v>
      </c>
      <c r="D21" s="123" t="s">
        <v>209</v>
      </c>
      <c r="E21" s="34">
        <v>5</v>
      </c>
      <c r="F21" s="34">
        <v>5</v>
      </c>
      <c r="G21" s="34">
        <v>5</v>
      </c>
      <c r="H21" s="34">
        <v>5</v>
      </c>
      <c r="I21" s="34">
        <v>5</v>
      </c>
      <c r="J21" s="34">
        <v>5</v>
      </c>
      <c r="K21" s="34">
        <v>5</v>
      </c>
      <c r="L21" s="34">
        <v>5</v>
      </c>
      <c r="M21" s="34">
        <v>5</v>
      </c>
      <c r="N21" s="108">
        <f t="shared" si="0"/>
        <v>5</v>
      </c>
      <c r="O21" s="108">
        <f t="shared" si="0"/>
        <v>5</v>
      </c>
    </row>
    <row r="22" spans="1:15" ht="63" x14ac:dyDescent="0.25">
      <c r="A22" s="35" t="s">
        <v>599</v>
      </c>
      <c r="B22" s="503" t="s">
        <v>223</v>
      </c>
      <c r="C22" s="123" t="s">
        <v>208</v>
      </c>
      <c r="D22" s="123" t="s">
        <v>209</v>
      </c>
      <c r="E22" s="34">
        <v>5</v>
      </c>
      <c r="F22" s="34">
        <v>5</v>
      </c>
      <c r="G22" s="34">
        <v>5</v>
      </c>
      <c r="H22" s="34">
        <v>5</v>
      </c>
      <c r="I22" s="34">
        <v>5</v>
      </c>
      <c r="J22" s="34">
        <v>5</v>
      </c>
      <c r="K22" s="34">
        <v>5</v>
      </c>
      <c r="L22" s="34">
        <v>5</v>
      </c>
      <c r="M22" s="34">
        <v>5</v>
      </c>
      <c r="N22" s="108">
        <f t="shared" si="0"/>
        <v>5</v>
      </c>
      <c r="O22" s="108">
        <f t="shared" si="0"/>
        <v>5</v>
      </c>
    </row>
    <row r="23" spans="1:15" ht="63" x14ac:dyDescent="0.25">
      <c r="A23" s="35" t="s">
        <v>224</v>
      </c>
      <c r="B23" s="503" t="s">
        <v>225</v>
      </c>
      <c r="C23" s="123" t="s">
        <v>208</v>
      </c>
      <c r="D23" s="123" t="s">
        <v>209</v>
      </c>
      <c r="E23" s="34">
        <v>5</v>
      </c>
      <c r="F23" s="34">
        <v>5</v>
      </c>
      <c r="G23" s="34">
        <v>5</v>
      </c>
      <c r="H23" s="34">
        <v>5</v>
      </c>
      <c r="I23" s="34">
        <v>5</v>
      </c>
      <c r="J23" s="34">
        <v>5</v>
      </c>
      <c r="K23" s="34">
        <v>5</v>
      </c>
      <c r="L23" s="34">
        <v>5</v>
      </c>
      <c r="M23" s="34">
        <v>5</v>
      </c>
      <c r="N23" s="108">
        <f t="shared" si="0"/>
        <v>5</v>
      </c>
      <c r="O23" s="108">
        <f t="shared" si="0"/>
        <v>5</v>
      </c>
    </row>
    <row r="24" spans="1:15" ht="63" x14ac:dyDescent="0.25">
      <c r="A24" s="35" t="s">
        <v>226</v>
      </c>
      <c r="B24" s="503" t="s">
        <v>227</v>
      </c>
      <c r="C24" s="123" t="s">
        <v>208</v>
      </c>
      <c r="D24" s="123" t="s">
        <v>209</v>
      </c>
      <c r="E24" s="34">
        <v>5</v>
      </c>
      <c r="F24" s="34">
        <v>5</v>
      </c>
      <c r="G24" s="34">
        <v>5</v>
      </c>
      <c r="H24" s="34">
        <v>5</v>
      </c>
      <c r="I24" s="34">
        <v>5</v>
      </c>
      <c r="J24" s="34">
        <v>5</v>
      </c>
      <c r="K24" s="34">
        <v>5</v>
      </c>
      <c r="L24" s="34">
        <v>5</v>
      </c>
      <c r="M24" s="34">
        <v>5</v>
      </c>
      <c r="N24" s="108">
        <f t="shared" si="0"/>
        <v>5</v>
      </c>
      <c r="O24" s="108">
        <f t="shared" si="0"/>
        <v>5</v>
      </c>
    </row>
    <row r="25" spans="1:15" ht="63" x14ac:dyDescent="0.25">
      <c r="A25" s="35" t="s">
        <v>228</v>
      </c>
      <c r="B25" s="503" t="s">
        <v>229</v>
      </c>
      <c r="C25" s="123" t="s">
        <v>208</v>
      </c>
      <c r="D25" s="123" t="s">
        <v>209</v>
      </c>
      <c r="E25" s="34">
        <v>5</v>
      </c>
      <c r="F25" s="34">
        <v>5</v>
      </c>
      <c r="G25" s="34">
        <v>5</v>
      </c>
      <c r="H25" s="34">
        <v>5</v>
      </c>
      <c r="I25" s="34">
        <v>5</v>
      </c>
      <c r="J25" s="34">
        <v>5</v>
      </c>
      <c r="K25" s="34">
        <v>5</v>
      </c>
      <c r="L25" s="34">
        <v>5</v>
      </c>
      <c r="M25" s="34">
        <v>5</v>
      </c>
      <c r="N25" s="108">
        <f t="shared" si="0"/>
        <v>5</v>
      </c>
      <c r="O25" s="34">
        <f t="shared" si="0"/>
        <v>5</v>
      </c>
    </row>
    <row r="26" spans="1:15" ht="32.25" customHeight="1" x14ac:dyDescent="0.25">
      <c r="A26" s="251" t="s">
        <v>600</v>
      </c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504"/>
      <c r="M26" s="505"/>
      <c r="N26" s="505"/>
      <c r="O26" s="108"/>
    </row>
    <row r="27" spans="1:15" ht="47.25" x14ac:dyDescent="0.25">
      <c r="A27" s="506" t="s">
        <v>231</v>
      </c>
      <c r="B27" s="125" t="s">
        <v>601</v>
      </c>
      <c r="C27" s="123" t="s">
        <v>105</v>
      </c>
      <c r="D27" s="123" t="s">
        <v>110</v>
      </c>
      <c r="E27" s="12">
        <v>70</v>
      </c>
      <c r="F27" s="12">
        <v>71</v>
      </c>
      <c r="G27" s="123">
        <v>71</v>
      </c>
      <c r="H27" s="123">
        <v>71</v>
      </c>
      <c r="I27" s="123">
        <v>71</v>
      </c>
      <c r="J27" s="123">
        <v>71</v>
      </c>
      <c r="K27" s="123">
        <v>71</v>
      </c>
      <c r="L27" s="123">
        <v>71</v>
      </c>
      <c r="M27" s="123">
        <v>71</v>
      </c>
      <c r="N27" s="34">
        <f>M27</f>
        <v>71</v>
      </c>
      <c r="O27" s="34">
        <f>N27</f>
        <v>71</v>
      </c>
    </row>
    <row r="28" spans="1:15" ht="94.5" x14ac:dyDescent="0.25">
      <c r="A28" s="123" t="s">
        <v>234</v>
      </c>
      <c r="B28" s="125" t="s">
        <v>235</v>
      </c>
      <c r="C28" s="123" t="s">
        <v>602</v>
      </c>
      <c r="D28" s="123" t="s">
        <v>110</v>
      </c>
      <c r="E28" s="123" t="s">
        <v>236</v>
      </c>
      <c r="F28" s="123" t="s">
        <v>237</v>
      </c>
      <c r="G28" s="123" t="s">
        <v>238</v>
      </c>
      <c r="H28" s="123" t="s">
        <v>239</v>
      </c>
      <c r="I28" s="123" t="s">
        <v>240</v>
      </c>
      <c r="J28" s="123" t="s">
        <v>241</v>
      </c>
      <c r="K28" s="123" t="s">
        <v>242</v>
      </c>
      <c r="L28" s="123" t="s">
        <v>242</v>
      </c>
      <c r="M28" s="123" t="s">
        <v>242</v>
      </c>
      <c r="N28" s="34" t="str">
        <f>M28</f>
        <v>89(57)</v>
      </c>
      <c r="O28" s="108" t="str">
        <f>N28</f>
        <v>89(57)</v>
      </c>
    </row>
    <row r="29" spans="1:15" ht="45" customHeight="1" x14ac:dyDescent="0.3">
      <c r="A29" s="53"/>
      <c r="B29" s="320" t="s">
        <v>33</v>
      </c>
      <c r="C29" s="320"/>
      <c r="D29" s="320"/>
      <c r="E29" s="320"/>
      <c r="F29" s="320"/>
      <c r="G29" s="507"/>
      <c r="H29" s="507"/>
      <c r="I29" s="306"/>
      <c r="J29" s="306"/>
      <c r="K29" s="507"/>
      <c r="L29" s="507"/>
      <c r="M29" s="507" t="s">
        <v>34</v>
      </c>
      <c r="N29" s="507"/>
    </row>
    <row r="30" spans="1:15" ht="68.25" customHeight="1" x14ac:dyDescent="0.25">
      <c r="A30" s="53"/>
    </row>
    <row r="31" spans="1:15" ht="129.75" customHeight="1" x14ac:dyDescent="0.25">
      <c r="A31" s="53"/>
    </row>
    <row r="32" spans="1:15" ht="98.25" customHeight="1" x14ac:dyDescent="0.25">
      <c r="A32" s="53"/>
    </row>
    <row r="33" spans="1:1" ht="70.5" customHeight="1" x14ac:dyDescent="0.25">
      <c r="A33" s="53"/>
    </row>
    <row r="34" spans="1:1" ht="66.75" customHeight="1" x14ac:dyDescent="0.25">
      <c r="A34" s="53"/>
    </row>
    <row r="35" spans="1:1" ht="53.25" customHeight="1" x14ac:dyDescent="0.25">
      <c r="A35" s="53"/>
    </row>
    <row r="36" spans="1:1" x14ac:dyDescent="0.25">
      <c r="A36" s="53"/>
    </row>
    <row r="37" spans="1:1" x14ac:dyDescent="0.25">
      <c r="A37" s="53"/>
    </row>
  </sheetData>
  <mergeCells count="23">
    <mergeCell ref="O3:O5"/>
    <mergeCell ref="A6:K6"/>
    <mergeCell ref="A7:K7"/>
    <mergeCell ref="A26:K26"/>
    <mergeCell ref="G29:H29"/>
    <mergeCell ref="K29:L29"/>
    <mergeCell ref="M29:N29"/>
    <mergeCell ref="I3:I5"/>
    <mergeCell ref="J3:J5"/>
    <mergeCell ref="K3:K5"/>
    <mergeCell ref="L3:L5"/>
    <mergeCell ref="M3:M5"/>
    <mergeCell ref="N3:N5"/>
    <mergeCell ref="E1:O1"/>
    <mergeCell ref="A2:K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35433070866141736" header="0.31496062992125984" footer="0.31496062992125984"/>
  <pageSetup paperSize="9" scale="61" fitToHeight="2" orientation="landscape" r:id="rId1"/>
  <headerFooter differentFirst="1">
    <oddHeader>&amp;C&amp;P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W102"/>
  <sheetViews>
    <sheetView tabSelected="1" view="pageBreakPreview" topLeftCell="D1" zoomScale="75" zoomScaleNormal="75" zoomScaleSheetLayoutView="75" workbookViewId="0">
      <selection activeCell="P19" sqref="P19"/>
    </sheetView>
  </sheetViews>
  <sheetFormatPr defaultColWidth="9.28515625" defaultRowHeight="15.75" x14ac:dyDescent="0.25"/>
  <cols>
    <col min="1" max="1" width="8.42578125" style="305" customWidth="1"/>
    <col min="2" max="2" width="42.28515625" style="53" customWidth="1"/>
    <col min="3" max="3" width="21.5703125" style="306" customWidth="1"/>
    <col min="4" max="4" width="13" style="306" customWidth="1"/>
    <col min="5" max="5" width="13.7109375" style="306" customWidth="1"/>
    <col min="6" max="6" width="17.28515625" style="306" customWidth="1"/>
    <col min="7" max="7" width="13" style="306" customWidth="1"/>
    <col min="8" max="8" width="14.7109375" style="306" customWidth="1"/>
    <col min="9" max="10" width="14.7109375" style="53" customWidth="1"/>
    <col min="11" max="11" width="14.7109375" style="148" customWidth="1"/>
    <col min="12" max="12" width="14.7109375" style="53" customWidth="1"/>
    <col min="13" max="13" width="21.7109375" style="53" customWidth="1"/>
    <col min="14" max="14" width="19.7109375" style="53" customWidth="1"/>
    <col min="15" max="15" width="22.28515625" style="53" customWidth="1"/>
    <col min="16" max="19" width="14.7109375" style="53" customWidth="1"/>
    <col min="20" max="20" width="74.140625" style="53" customWidth="1"/>
    <col min="21" max="21" width="9.28515625" style="53"/>
    <col min="22" max="22" width="13.28515625" style="53" bestFit="1" customWidth="1"/>
    <col min="23" max="23" width="12.28515625" style="53" bestFit="1" customWidth="1"/>
    <col min="24" max="16384" width="9.28515625" style="53"/>
  </cols>
  <sheetData>
    <row r="1" spans="1:20" s="206" customFormat="1" ht="71.25" customHeight="1" x14ac:dyDescent="0.25">
      <c r="A1" s="244"/>
      <c r="B1" s="245"/>
      <c r="C1" s="246"/>
      <c r="D1" s="246"/>
      <c r="E1" s="246"/>
      <c r="F1" s="246"/>
      <c r="G1" s="246"/>
      <c r="H1" s="246"/>
      <c r="I1" s="247"/>
      <c r="J1" s="247"/>
      <c r="K1" s="508"/>
      <c r="O1" s="509"/>
      <c r="S1" s="510" t="s">
        <v>603</v>
      </c>
      <c r="T1" s="510"/>
    </row>
    <row r="2" spans="1:20" s="206" customFormat="1" ht="36" customHeight="1" x14ac:dyDescent="0.25">
      <c r="A2" s="250" t="s">
        <v>265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</row>
    <row r="3" spans="1:20" s="206" customFormat="1" ht="32.25" customHeight="1" x14ac:dyDescent="0.25">
      <c r="A3" s="50" t="s">
        <v>97</v>
      </c>
      <c r="B3" s="50" t="s">
        <v>266</v>
      </c>
      <c r="C3" s="50" t="s">
        <v>7</v>
      </c>
      <c r="D3" s="50" t="s">
        <v>5</v>
      </c>
      <c r="E3" s="50"/>
      <c r="F3" s="50"/>
      <c r="G3" s="50"/>
      <c r="H3" s="85" t="s">
        <v>6</v>
      </c>
      <c r="I3" s="86"/>
      <c r="J3" s="86"/>
      <c r="K3" s="86"/>
      <c r="L3" s="86"/>
      <c r="M3" s="86"/>
      <c r="N3" s="86"/>
      <c r="O3" s="86"/>
      <c r="P3" s="86"/>
      <c r="Q3" s="86"/>
      <c r="R3" s="86"/>
      <c r="S3" s="87"/>
      <c r="T3" s="50" t="s">
        <v>604</v>
      </c>
    </row>
    <row r="4" spans="1:20" s="206" customFormat="1" ht="37.5" customHeight="1" x14ac:dyDescent="0.25">
      <c r="A4" s="50"/>
      <c r="B4" s="50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12">
        <v>2020</v>
      </c>
      <c r="O4" s="12">
        <v>2021</v>
      </c>
      <c r="P4" s="12">
        <v>2022</v>
      </c>
      <c r="Q4" s="12">
        <v>2023</v>
      </c>
      <c r="R4" s="12">
        <v>2024</v>
      </c>
      <c r="S4" s="12" t="s">
        <v>11</v>
      </c>
      <c r="T4" s="50"/>
    </row>
    <row r="5" spans="1:20" ht="27" customHeight="1" x14ac:dyDescent="0.25">
      <c r="A5" s="33" t="s">
        <v>593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0" ht="27" customHeight="1" x14ac:dyDescent="0.25">
      <c r="A6" s="511" t="s">
        <v>605</v>
      </c>
      <c r="B6" s="512"/>
      <c r="C6" s="512"/>
      <c r="D6" s="512"/>
      <c r="E6" s="512"/>
      <c r="F6" s="512"/>
      <c r="G6" s="512"/>
      <c r="H6" s="512"/>
      <c r="I6" s="512"/>
      <c r="J6" s="512"/>
      <c r="K6" s="512"/>
      <c r="L6" s="512"/>
      <c r="M6" s="512"/>
      <c r="N6" s="512"/>
      <c r="O6" s="512"/>
      <c r="P6" s="512"/>
      <c r="Q6" s="512"/>
      <c r="R6" s="512"/>
      <c r="S6" s="512"/>
      <c r="T6" s="513"/>
    </row>
    <row r="7" spans="1:20" ht="45" customHeight="1" x14ac:dyDescent="0.25">
      <c r="A7" s="252" t="s">
        <v>189</v>
      </c>
      <c r="B7" s="40" t="s">
        <v>606</v>
      </c>
      <c r="C7" s="40" t="s">
        <v>271</v>
      </c>
      <c r="D7" s="254" t="s">
        <v>18</v>
      </c>
      <c r="E7" s="254" t="s">
        <v>475</v>
      </c>
      <c r="F7" s="254" t="s">
        <v>607</v>
      </c>
      <c r="G7" s="34">
        <v>120</v>
      </c>
      <c r="H7" s="514">
        <v>1257.5999999999999</v>
      </c>
      <c r="I7" s="514">
        <v>1420.8</v>
      </c>
      <c r="J7" s="514">
        <v>1452.9</v>
      </c>
      <c r="K7" s="514">
        <v>1366.4</v>
      </c>
      <c r="L7" s="514">
        <v>1552.5</v>
      </c>
      <c r="M7" s="514">
        <v>1792.7</v>
      </c>
      <c r="N7" s="514">
        <v>1967.9</v>
      </c>
      <c r="O7" s="514">
        <v>2231.1</v>
      </c>
      <c r="P7" s="514">
        <v>2638.3</v>
      </c>
      <c r="Q7" s="514">
        <v>2535.9</v>
      </c>
      <c r="R7" s="514">
        <f>Q7</f>
        <v>2535.9</v>
      </c>
      <c r="S7" s="514">
        <f>SUM(H7:R7)</f>
        <v>20752.000000000004</v>
      </c>
      <c r="T7" s="40" t="s">
        <v>608</v>
      </c>
    </row>
    <row r="8" spans="1:20" ht="45" customHeight="1" x14ac:dyDescent="0.25">
      <c r="A8" s="256"/>
      <c r="B8" s="42"/>
      <c r="C8" s="42"/>
      <c r="D8" s="34">
        <v>975</v>
      </c>
      <c r="E8" s="254" t="s">
        <v>475</v>
      </c>
      <c r="F8" s="254" t="s">
        <v>607</v>
      </c>
      <c r="G8" s="34" t="s">
        <v>609</v>
      </c>
      <c r="H8" s="514">
        <v>318.60000000000002</v>
      </c>
      <c r="I8" s="514">
        <v>600.70000000000005</v>
      </c>
      <c r="J8" s="514">
        <v>513.5</v>
      </c>
      <c r="K8" s="514">
        <f>411.1+0.5</f>
        <v>411.6</v>
      </c>
      <c r="L8" s="514">
        <v>298.89999999999998</v>
      </c>
      <c r="M8" s="514">
        <v>317.5</v>
      </c>
      <c r="N8" s="514">
        <f>299.8+0.9+36.1</f>
        <v>336.8</v>
      </c>
      <c r="O8" s="514">
        <f>311.9+0.9</f>
        <v>312.79999999999995</v>
      </c>
      <c r="P8" s="514">
        <f>346.7</f>
        <v>346.7</v>
      </c>
      <c r="Q8" s="514">
        <v>346.7</v>
      </c>
      <c r="R8" s="514">
        <f t="shared" ref="R8:R51" si="0">Q8</f>
        <v>346.7</v>
      </c>
      <c r="S8" s="514">
        <f t="shared" ref="S8:S52" si="1">SUM(H8:R8)</f>
        <v>4150.5</v>
      </c>
      <c r="T8" s="42"/>
    </row>
    <row r="9" spans="1:20" ht="24.95" customHeight="1" x14ac:dyDescent="0.25">
      <c r="A9" s="256"/>
      <c r="B9" s="42"/>
      <c r="C9" s="42"/>
      <c r="D9" s="461" t="s">
        <v>18</v>
      </c>
      <c r="E9" s="254" t="s">
        <v>475</v>
      </c>
      <c r="F9" s="254" t="s">
        <v>610</v>
      </c>
      <c r="G9" s="34">
        <v>120</v>
      </c>
      <c r="H9" s="514">
        <v>330.4</v>
      </c>
      <c r="I9" s="514">
        <v>342.6</v>
      </c>
      <c r="J9" s="514">
        <v>342.6</v>
      </c>
      <c r="K9" s="514">
        <v>335.6</v>
      </c>
      <c r="L9" s="514">
        <v>343.5</v>
      </c>
      <c r="M9" s="514">
        <v>360.3</v>
      </c>
      <c r="N9" s="514">
        <v>373.6</v>
      </c>
      <c r="O9" s="514">
        <v>431.7</v>
      </c>
      <c r="P9" s="514">
        <v>495.4</v>
      </c>
      <c r="Q9" s="514">
        <v>433.7</v>
      </c>
      <c r="R9" s="514">
        <f t="shared" si="0"/>
        <v>433.7</v>
      </c>
      <c r="S9" s="514">
        <f t="shared" si="1"/>
        <v>4223.0999999999995</v>
      </c>
      <c r="T9" s="42"/>
    </row>
    <row r="10" spans="1:20" ht="24.95" customHeight="1" x14ac:dyDescent="0.25">
      <c r="A10" s="256"/>
      <c r="B10" s="42"/>
      <c r="C10" s="42"/>
      <c r="D10" s="461" t="s">
        <v>18</v>
      </c>
      <c r="E10" s="254" t="s">
        <v>475</v>
      </c>
      <c r="F10" s="254" t="s">
        <v>611</v>
      </c>
      <c r="G10" s="34">
        <v>120</v>
      </c>
      <c r="H10" s="514"/>
      <c r="I10" s="514"/>
      <c r="J10" s="514"/>
      <c r="K10" s="514"/>
      <c r="L10" s="514"/>
      <c r="M10" s="514"/>
      <c r="N10" s="514">
        <v>16.3</v>
      </c>
      <c r="O10" s="514"/>
      <c r="P10" s="514"/>
      <c r="Q10" s="514"/>
      <c r="R10" s="514">
        <f t="shared" si="0"/>
        <v>0</v>
      </c>
      <c r="S10" s="514">
        <f t="shared" si="1"/>
        <v>16.3</v>
      </c>
      <c r="T10" s="42"/>
    </row>
    <row r="11" spans="1:20" ht="24.95" customHeight="1" x14ac:dyDescent="0.25">
      <c r="A11" s="256"/>
      <c r="B11" s="42"/>
      <c r="C11" s="42"/>
      <c r="D11" s="461" t="s">
        <v>18</v>
      </c>
      <c r="E11" s="254" t="s">
        <v>475</v>
      </c>
      <c r="F11" s="254" t="s">
        <v>612</v>
      </c>
      <c r="G11" s="34">
        <v>120</v>
      </c>
      <c r="H11" s="514"/>
      <c r="I11" s="514"/>
      <c r="J11" s="514"/>
      <c r="K11" s="514"/>
      <c r="L11" s="514"/>
      <c r="M11" s="514"/>
      <c r="N11" s="514">
        <v>21.7</v>
      </c>
      <c r="O11" s="514"/>
      <c r="P11" s="514"/>
      <c r="Q11" s="514">
        <f t="shared" ref="Q11:Q51" si="2">P11</f>
        <v>0</v>
      </c>
      <c r="R11" s="514">
        <f t="shared" si="0"/>
        <v>0</v>
      </c>
      <c r="S11" s="514">
        <f t="shared" si="1"/>
        <v>21.7</v>
      </c>
      <c r="T11" s="42"/>
    </row>
    <row r="12" spans="1:20" ht="24.95" customHeight="1" x14ac:dyDescent="0.25">
      <c r="A12" s="256"/>
      <c r="B12" s="42"/>
      <c r="C12" s="42"/>
      <c r="D12" s="461" t="s">
        <v>18</v>
      </c>
      <c r="E12" s="254" t="s">
        <v>475</v>
      </c>
      <c r="F12" s="254" t="s">
        <v>613</v>
      </c>
      <c r="G12" s="34">
        <v>120</v>
      </c>
      <c r="H12" s="514"/>
      <c r="I12" s="514"/>
      <c r="J12" s="514"/>
      <c r="K12" s="514"/>
      <c r="L12" s="514"/>
      <c r="M12" s="514"/>
      <c r="N12" s="514">
        <v>3.1</v>
      </c>
      <c r="O12" s="514"/>
      <c r="P12" s="514"/>
      <c r="Q12" s="514"/>
      <c r="R12" s="514">
        <f t="shared" si="0"/>
        <v>0</v>
      </c>
      <c r="S12" s="514">
        <f t="shared" si="1"/>
        <v>3.1</v>
      </c>
      <c r="T12" s="42"/>
    </row>
    <row r="13" spans="1:20" ht="24.95" customHeight="1" x14ac:dyDescent="0.25">
      <c r="A13" s="256"/>
      <c r="B13" s="42"/>
      <c r="C13" s="42"/>
      <c r="D13" s="461" t="s">
        <v>18</v>
      </c>
      <c r="E13" s="254" t="s">
        <v>475</v>
      </c>
      <c r="F13" s="254" t="s">
        <v>614</v>
      </c>
      <c r="G13" s="34">
        <v>120</v>
      </c>
      <c r="H13" s="514"/>
      <c r="I13" s="514"/>
      <c r="J13" s="514"/>
      <c r="K13" s="514"/>
      <c r="L13" s="514"/>
      <c r="M13" s="514"/>
      <c r="N13" s="514">
        <v>228.4</v>
      </c>
      <c r="O13" s="514"/>
      <c r="P13" s="514"/>
      <c r="Q13" s="514">
        <f t="shared" si="2"/>
        <v>0</v>
      </c>
      <c r="R13" s="514">
        <f t="shared" si="0"/>
        <v>0</v>
      </c>
      <c r="S13" s="514">
        <f>SUM(H13:R13)</f>
        <v>228.4</v>
      </c>
      <c r="T13" s="42"/>
    </row>
    <row r="14" spans="1:20" ht="24.95" customHeight="1" x14ac:dyDescent="0.25">
      <c r="A14" s="256"/>
      <c r="B14" s="42"/>
      <c r="C14" s="42"/>
      <c r="D14" s="461"/>
      <c r="E14" s="254" t="s">
        <v>475</v>
      </c>
      <c r="F14" s="254" t="s">
        <v>615</v>
      </c>
      <c r="G14" s="34">
        <v>831</v>
      </c>
      <c r="H14" s="514"/>
      <c r="I14" s="514"/>
      <c r="J14" s="514"/>
      <c r="K14" s="514"/>
      <c r="L14" s="514"/>
      <c r="M14" s="514"/>
      <c r="N14" s="514"/>
      <c r="O14" s="515">
        <v>160.9</v>
      </c>
      <c r="P14" s="514"/>
      <c r="Q14" s="514"/>
      <c r="R14" s="514"/>
      <c r="S14" s="514">
        <f>SUM(H14:R14)</f>
        <v>160.9</v>
      </c>
      <c r="T14" s="42"/>
    </row>
    <row r="15" spans="1:20" ht="24.95" customHeight="1" x14ac:dyDescent="0.25">
      <c r="A15" s="256"/>
      <c r="B15" s="42"/>
      <c r="C15" s="42"/>
      <c r="D15" s="461" t="s">
        <v>18</v>
      </c>
      <c r="E15" s="254" t="s">
        <v>475</v>
      </c>
      <c r="F15" s="254" t="s">
        <v>616</v>
      </c>
      <c r="G15" s="34">
        <v>120</v>
      </c>
      <c r="H15" s="514"/>
      <c r="I15" s="514"/>
      <c r="J15" s="514"/>
      <c r="K15" s="514"/>
      <c r="L15" s="514"/>
      <c r="M15" s="514">
        <v>36.4</v>
      </c>
      <c r="N15" s="514"/>
      <c r="O15" s="514"/>
      <c r="P15" s="514">
        <f t="shared" ref="P15:P20" si="3">O15</f>
        <v>0</v>
      </c>
      <c r="Q15" s="514">
        <f t="shared" si="2"/>
        <v>0</v>
      </c>
      <c r="R15" s="514">
        <f t="shared" si="0"/>
        <v>0</v>
      </c>
      <c r="S15" s="514">
        <f t="shared" si="1"/>
        <v>36.4</v>
      </c>
      <c r="T15" s="42"/>
    </row>
    <row r="16" spans="1:20" ht="24.95" customHeight="1" x14ac:dyDescent="0.25">
      <c r="A16" s="256"/>
      <c r="B16" s="42"/>
      <c r="C16" s="42"/>
      <c r="D16" s="461" t="s">
        <v>18</v>
      </c>
      <c r="E16" s="254" t="s">
        <v>475</v>
      </c>
      <c r="F16" s="254" t="s">
        <v>617</v>
      </c>
      <c r="G16" s="34">
        <v>120</v>
      </c>
      <c r="H16" s="514"/>
      <c r="I16" s="514"/>
      <c r="J16" s="514"/>
      <c r="K16" s="514"/>
      <c r="L16" s="514">
        <v>96.2</v>
      </c>
      <c r="M16" s="514"/>
      <c r="N16" s="514"/>
      <c r="O16" s="514"/>
      <c r="P16" s="514">
        <f t="shared" si="3"/>
        <v>0</v>
      </c>
      <c r="Q16" s="514">
        <f t="shared" si="2"/>
        <v>0</v>
      </c>
      <c r="R16" s="514">
        <f t="shared" si="0"/>
        <v>0</v>
      </c>
      <c r="S16" s="514">
        <f t="shared" si="1"/>
        <v>96.2</v>
      </c>
      <c r="T16" s="42"/>
    </row>
    <row r="17" spans="1:22" ht="41.45" customHeight="1" x14ac:dyDescent="0.25">
      <c r="A17" s="256"/>
      <c r="B17" s="42"/>
      <c r="C17" s="42"/>
      <c r="D17" s="34">
        <v>975</v>
      </c>
      <c r="E17" s="254" t="s">
        <v>475</v>
      </c>
      <c r="F17" s="254" t="s">
        <v>618</v>
      </c>
      <c r="G17" s="34">
        <v>120</v>
      </c>
      <c r="H17" s="514"/>
      <c r="I17" s="514"/>
      <c r="J17" s="514"/>
      <c r="K17" s="514"/>
      <c r="L17" s="514">
        <v>12.8</v>
      </c>
      <c r="M17" s="514">
        <v>3.8</v>
      </c>
      <c r="N17" s="514"/>
      <c r="O17" s="514"/>
      <c r="P17" s="514">
        <f t="shared" si="3"/>
        <v>0</v>
      </c>
      <c r="Q17" s="514">
        <f t="shared" si="2"/>
        <v>0</v>
      </c>
      <c r="R17" s="514">
        <f t="shared" si="0"/>
        <v>0</v>
      </c>
      <c r="S17" s="514">
        <f t="shared" si="1"/>
        <v>16.600000000000001</v>
      </c>
      <c r="T17" s="42"/>
    </row>
    <row r="18" spans="1:22" ht="46.9" customHeight="1" x14ac:dyDescent="0.25">
      <c r="A18" s="259"/>
      <c r="B18" s="75"/>
      <c r="C18" s="75"/>
      <c r="D18" s="34">
        <v>975</v>
      </c>
      <c r="E18" s="254" t="s">
        <v>475</v>
      </c>
      <c r="F18" s="254" t="s">
        <v>619</v>
      </c>
      <c r="G18" s="34">
        <v>120</v>
      </c>
      <c r="H18" s="514"/>
      <c r="I18" s="514"/>
      <c r="J18" s="514"/>
      <c r="K18" s="514"/>
      <c r="L18" s="514">
        <v>55.9</v>
      </c>
      <c r="M18" s="514">
        <v>18.100000000000001</v>
      </c>
      <c r="N18" s="514"/>
      <c r="O18" s="514"/>
      <c r="P18" s="514">
        <f t="shared" si="3"/>
        <v>0</v>
      </c>
      <c r="Q18" s="514">
        <f t="shared" si="2"/>
        <v>0</v>
      </c>
      <c r="R18" s="514">
        <f t="shared" si="0"/>
        <v>0</v>
      </c>
      <c r="S18" s="514">
        <f t="shared" si="1"/>
        <v>74</v>
      </c>
      <c r="T18" s="75"/>
    </row>
    <row r="19" spans="1:22" ht="45" customHeight="1" x14ac:dyDescent="0.25">
      <c r="A19" s="274" t="s">
        <v>620</v>
      </c>
      <c r="B19" s="460" t="s">
        <v>621</v>
      </c>
      <c r="C19" s="30" t="s">
        <v>622</v>
      </c>
      <c r="D19" s="254" t="s">
        <v>18</v>
      </c>
      <c r="E19" s="254" t="s">
        <v>475</v>
      </c>
      <c r="F19" s="254" t="s">
        <v>623</v>
      </c>
      <c r="G19" s="34">
        <v>110</v>
      </c>
      <c r="H19" s="514">
        <v>623.6</v>
      </c>
      <c r="I19" s="514">
        <v>623.6</v>
      </c>
      <c r="J19" s="514">
        <v>623.6</v>
      </c>
      <c r="K19" s="514">
        <v>610</v>
      </c>
      <c r="L19" s="514">
        <f>623.6</f>
        <v>623.6</v>
      </c>
      <c r="M19" s="514">
        <v>623.6</v>
      </c>
      <c r="N19" s="514">
        <v>623.6</v>
      </c>
      <c r="O19" s="515">
        <v>623.6</v>
      </c>
      <c r="P19" s="514">
        <f>O19</f>
        <v>623.6</v>
      </c>
      <c r="Q19" s="514">
        <v>623.6</v>
      </c>
      <c r="R19" s="514">
        <f t="shared" si="0"/>
        <v>623.6</v>
      </c>
      <c r="S19" s="514">
        <f t="shared" si="1"/>
        <v>6846.0000000000018</v>
      </c>
      <c r="T19" s="282" t="s">
        <v>624</v>
      </c>
      <c r="V19" s="516">
        <f>P19+P21+P28+P29+P30+P37+P39+P42+P48</f>
        <v>52985.799999999996</v>
      </c>
    </row>
    <row r="20" spans="1:22" ht="24.95" customHeight="1" x14ac:dyDescent="0.25">
      <c r="A20" s="284" t="s">
        <v>625</v>
      </c>
      <c r="B20" s="50" t="s">
        <v>626</v>
      </c>
      <c r="C20" s="50" t="s">
        <v>627</v>
      </c>
      <c r="D20" s="254" t="s">
        <v>22</v>
      </c>
      <c r="E20" s="254" t="s">
        <v>475</v>
      </c>
      <c r="F20" s="254" t="s">
        <v>628</v>
      </c>
      <c r="G20" s="34">
        <v>110</v>
      </c>
      <c r="H20" s="517"/>
      <c r="I20" s="517"/>
      <c r="J20" s="517"/>
      <c r="K20" s="517"/>
      <c r="L20" s="517">
        <v>564.29999999999995</v>
      </c>
      <c r="M20" s="517"/>
      <c r="N20" s="517"/>
      <c r="O20" s="517"/>
      <c r="P20" s="514">
        <f t="shared" si="3"/>
        <v>0</v>
      </c>
      <c r="Q20" s="514">
        <f t="shared" si="2"/>
        <v>0</v>
      </c>
      <c r="R20" s="514">
        <f t="shared" si="0"/>
        <v>0</v>
      </c>
      <c r="S20" s="514">
        <f t="shared" si="1"/>
        <v>564.29999999999995</v>
      </c>
      <c r="T20" s="33" t="s">
        <v>629</v>
      </c>
    </row>
    <row r="21" spans="1:22" ht="24.95" customHeight="1" x14ac:dyDescent="0.25">
      <c r="A21" s="284"/>
      <c r="B21" s="50"/>
      <c r="C21" s="50"/>
      <c r="D21" s="254" t="s">
        <v>22</v>
      </c>
      <c r="E21" s="254" t="s">
        <v>475</v>
      </c>
      <c r="F21" s="254" t="s">
        <v>623</v>
      </c>
      <c r="G21" s="34">
        <v>110</v>
      </c>
      <c r="H21" s="517">
        <v>13131.6</v>
      </c>
      <c r="I21" s="517">
        <v>13815.5</v>
      </c>
      <c r="J21" s="517">
        <v>14161.8</v>
      </c>
      <c r="K21" s="517">
        <v>14410.6</v>
      </c>
      <c r="L21" s="517">
        <f>11061.4+19+3328.3</f>
        <v>14408.7</v>
      </c>
      <c r="M21" s="517">
        <v>15224.3</v>
      </c>
      <c r="N21" s="517">
        <v>15816.8</v>
      </c>
      <c r="O21" s="517">
        <v>19123.3</v>
      </c>
      <c r="P21" s="514">
        <v>23638.799999999999</v>
      </c>
      <c r="Q21" s="514">
        <v>20340</v>
      </c>
      <c r="R21" s="514">
        <f t="shared" si="0"/>
        <v>20340</v>
      </c>
      <c r="S21" s="514">
        <f t="shared" si="1"/>
        <v>184411.4</v>
      </c>
      <c r="T21" s="33"/>
    </row>
    <row r="22" spans="1:22" ht="24.95" customHeight="1" x14ac:dyDescent="0.25">
      <c r="A22" s="284"/>
      <c r="B22" s="50"/>
      <c r="C22" s="50"/>
      <c r="D22" s="254" t="s">
        <v>22</v>
      </c>
      <c r="E22" s="254" t="s">
        <v>475</v>
      </c>
      <c r="F22" s="254" t="s">
        <v>630</v>
      </c>
      <c r="G22" s="34">
        <v>110</v>
      </c>
      <c r="H22" s="517"/>
      <c r="I22" s="517">
        <v>9.6999999999999993</v>
      </c>
      <c r="J22" s="517">
        <v>10.9</v>
      </c>
      <c r="K22" s="517">
        <v>12.4</v>
      </c>
      <c r="L22" s="517">
        <v>52.5</v>
      </c>
      <c r="M22" s="517">
        <v>130.5</v>
      </c>
      <c r="N22" s="517">
        <v>159.9</v>
      </c>
      <c r="O22" s="517"/>
      <c r="P22" s="517"/>
      <c r="Q22" s="514">
        <f t="shared" si="2"/>
        <v>0</v>
      </c>
      <c r="R22" s="514">
        <f t="shared" si="0"/>
        <v>0</v>
      </c>
      <c r="S22" s="514">
        <f t="shared" si="1"/>
        <v>375.9</v>
      </c>
      <c r="T22" s="33"/>
    </row>
    <row r="23" spans="1:22" ht="39.6" customHeight="1" x14ac:dyDescent="0.25">
      <c r="A23" s="284"/>
      <c r="B23" s="50"/>
      <c r="C23" s="50"/>
      <c r="D23" s="254" t="s">
        <v>22</v>
      </c>
      <c r="E23" s="254" t="s">
        <v>475</v>
      </c>
      <c r="F23" s="254" t="s">
        <v>631</v>
      </c>
      <c r="G23" s="34">
        <v>110</v>
      </c>
      <c r="H23" s="517"/>
      <c r="I23" s="517"/>
      <c r="J23" s="517"/>
      <c r="K23" s="517"/>
      <c r="L23" s="517"/>
      <c r="M23" s="517">
        <v>8.9</v>
      </c>
      <c r="N23" s="517">
        <v>97.3</v>
      </c>
      <c r="O23" s="517">
        <v>0</v>
      </c>
      <c r="P23" s="514">
        <v>0</v>
      </c>
      <c r="Q23" s="514">
        <f t="shared" si="2"/>
        <v>0</v>
      </c>
      <c r="R23" s="514">
        <f t="shared" si="0"/>
        <v>0</v>
      </c>
      <c r="S23" s="514">
        <f t="shared" si="1"/>
        <v>106.2</v>
      </c>
      <c r="T23" s="33"/>
    </row>
    <row r="24" spans="1:22" ht="39.6" customHeight="1" x14ac:dyDescent="0.25">
      <c r="A24" s="284"/>
      <c r="B24" s="50"/>
      <c r="C24" s="50"/>
      <c r="D24" s="254" t="s">
        <v>22</v>
      </c>
      <c r="E24" s="254" t="s">
        <v>475</v>
      </c>
      <c r="F24" s="254" t="s">
        <v>611</v>
      </c>
      <c r="G24" s="34">
        <v>110</v>
      </c>
      <c r="H24" s="517"/>
      <c r="I24" s="517"/>
      <c r="J24" s="517"/>
      <c r="K24" s="517"/>
      <c r="L24" s="517"/>
      <c r="M24" s="517"/>
      <c r="N24" s="517">
        <v>130.19999999999999</v>
      </c>
      <c r="O24" s="517"/>
      <c r="P24" s="514"/>
      <c r="Q24" s="514"/>
      <c r="R24" s="514">
        <f t="shared" si="0"/>
        <v>0</v>
      </c>
      <c r="S24" s="514">
        <f t="shared" si="1"/>
        <v>130.19999999999999</v>
      </c>
      <c r="T24" s="33"/>
    </row>
    <row r="25" spans="1:22" ht="39.6" customHeight="1" x14ac:dyDescent="0.25">
      <c r="A25" s="284"/>
      <c r="B25" s="50"/>
      <c r="C25" s="50"/>
      <c r="D25" s="254" t="s">
        <v>22</v>
      </c>
      <c r="E25" s="254" t="s">
        <v>475</v>
      </c>
      <c r="F25" s="254" t="s">
        <v>632</v>
      </c>
      <c r="G25" s="34">
        <v>110</v>
      </c>
      <c r="H25" s="517"/>
      <c r="I25" s="517"/>
      <c r="J25" s="517"/>
      <c r="K25" s="517"/>
      <c r="L25" s="517"/>
      <c r="M25" s="517"/>
      <c r="N25" s="517">
        <v>874.3</v>
      </c>
      <c r="O25" s="517"/>
      <c r="P25" s="514"/>
      <c r="Q25" s="514">
        <f t="shared" si="2"/>
        <v>0</v>
      </c>
      <c r="R25" s="514">
        <f t="shared" si="0"/>
        <v>0</v>
      </c>
      <c r="S25" s="514">
        <f t="shared" si="1"/>
        <v>874.3</v>
      </c>
      <c r="T25" s="33"/>
    </row>
    <row r="26" spans="1:22" ht="24.95" customHeight="1" x14ac:dyDescent="0.25">
      <c r="A26" s="284"/>
      <c r="B26" s="50"/>
      <c r="C26" s="50"/>
      <c r="D26" s="254" t="s">
        <v>22</v>
      </c>
      <c r="E26" s="254" t="s">
        <v>475</v>
      </c>
      <c r="F26" s="254" t="s">
        <v>633</v>
      </c>
      <c r="G26" s="34">
        <v>110</v>
      </c>
      <c r="H26" s="517"/>
      <c r="I26" s="517"/>
      <c r="J26" s="517"/>
      <c r="K26" s="517"/>
      <c r="L26" s="517"/>
      <c r="M26" s="517">
        <v>137.6</v>
      </c>
      <c r="N26" s="517"/>
      <c r="O26" s="517"/>
      <c r="P26" s="514"/>
      <c r="Q26" s="514">
        <f t="shared" si="2"/>
        <v>0</v>
      </c>
      <c r="R26" s="514">
        <f t="shared" si="0"/>
        <v>0</v>
      </c>
      <c r="S26" s="514">
        <f t="shared" si="1"/>
        <v>137.6</v>
      </c>
      <c r="T26" s="33"/>
    </row>
    <row r="27" spans="1:22" ht="24.95" customHeight="1" x14ac:dyDescent="0.25">
      <c r="A27" s="284"/>
      <c r="B27" s="50"/>
      <c r="C27" s="50"/>
      <c r="D27" s="254" t="s">
        <v>22</v>
      </c>
      <c r="E27" s="254" t="s">
        <v>475</v>
      </c>
      <c r="F27" s="254" t="s">
        <v>623</v>
      </c>
      <c r="G27" s="34">
        <v>850</v>
      </c>
      <c r="H27" s="517">
        <v>0</v>
      </c>
      <c r="I27" s="517">
        <v>0</v>
      </c>
      <c r="J27" s="517">
        <v>0</v>
      </c>
      <c r="K27" s="517">
        <v>21.8</v>
      </c>
      <c r="L27" s="517">
        <v>0.01</v>
      </c>
      <c r="M27" s="517"/>
      <c r="N27" s="517"/>
      <c r="O27" s="517">
        <v>0.8</v>
      </c>
      <c r="P27" s="514"/>
      <c r="Q27" s="514"/>
      <c r="R27" s="514">
        <f t="shared" si="0"/>
        <v>0</v>
      </c>
      <c r="S27" s="514">
        <f t="shared" si="1"/>
        <v>22.610000000000003</v>
      </c>
      <c r="T27" s="33"/>
    </row>
    <row r="28" spans="1:22" ht="24.95" customHeight="1" x14ac:dyDescent="0.25">
      <c r="A28" s="284"/>
      <c r="B28" s="50"/>
      <c r="C28" s="50"/>
      <c r="D28" s="254" t="s">
        <v>22</v>
      </c>
      <c r="E28" s="254" t="s">
        <v>475</v>
      </c>
      <c r="F28" s="254" t="s">
        <v>623</v>
      </c>
      <c r="G28" s="34">
        <v>240</v>
      </c>
      <c r="H28" s="517">
        <v>1021.5</v>
      </c>
      <c r="I28" s="517">
        <v>1111.2</v>
      </c>
      <c r="J28" s="517">
        <v>1144</v>
      </c>
      <c r="K28" s="517">
        <v>927.7</v>
      </c>
      <c r="L28" s="517">
        <v>969.6</v>
      </c>
      <c r="M28" s="517">
        <v>1242.5</v>
      </c>
      <c r="N28" s="517">
        <v>1442.2</v>
      </c>
      <c r="O28" s="517">
        <v>2917.2</v>
      </c>
      <c r="P28" s="517">
        <v>3210.2</v>
      </c>
      <c r="Q28" s="514">
        <v>3021.2</v>
      </c>
      <c r="R28" s="514">
        <f t="shared" si="0"/>
        <v>3021.2</v>
      </c>
      <c r="S28" s="514">
        <f t="shared" si="1"/>
        <v>20028.5</v>
      </c>
      <c r="T28" s="33"/>
    </row>
    <row r="29" spans="1:22" ht="24.95" customHeight="1" x14ac:dyDescent="0.25">
      <c r="A29" s="284" t="s">
        <v>634</v>
      </c>
      <c r="B29" s="33" t="s">
        <v>635</v>
      </c>
      <c r="C29" s="33" t="s">
        <v>636</v>
      </c>
      <c r="D29" s="254" t="s">
        <v>18</v>
      </c>
      <c r="E29" s="254" t="s">
        <v>475</v>
      </c>
      <c r="F29" s="254" t="s">
        <v>623</v>
      </c>
      <c r="G29" s="34">
        <v>110</v>
      </c>
      <c r="H29" s="517">
        <f>2965-H19</f>
        <v>2341.4</v>
      </c>
      <c r="I29" s="517">
        <f>3154-I19</f>
        <v>2530.4</v>
      </c>
      <c r="J29" s="517">
        <f>3155.8-J19</f>
        <v>2532.2000000000003</v>
      </c>
      <c r="K29" s="517">
        <f>4414.9-K19</f>
        <v>3804.8999999999996</v>
      </c>
      <c r="L29" s="517">
        <f>4501.5-L19</f>
        <v>3877.9</v>
      </c>
      <c r="M29" s="517">
        <f>4633.1-M19</f>
        <v>4009.5000000000005</v>
      </c>
      <c r="N29" s="517">
        <f>5167.1-N19</f>
        <v>4543.5</v>
      </c>
      <c r="O29" s="517">
        <f>5798.8-O19</f>
        <v>5175.2</v>
      </c>
      <c r="P29" s="517">
        <f>6635.5-P19</f>
        <v>6011.9</v>
      </c>
      <c r="Q29" s="514">
        <v>5362.5</v>
      </c>
      <c r="R29" s="514">
        <f t="shared" si="0"/>
        <v>5362.5</v>
      </c>
      <c r="S29" s="514">
        <f t="shared" si="1"/>
        <v>45551.9</v>
      </c>
      <c r="T29" s="33" t="s">
        <v>637</v>
      </c>
    </row>
    <row r="30" spans="1:22" ht="24.95" customHeight="1" x14ac:dyDescent="0.25">
      <c r="A30" s="284"/>
      <c r="B30" s="33"/>
      <c r="C30" s="33"/>
      <c r="D30" s="254" t="s">
        <v>18</v>
      </c>
      <c r="E30" s="254" t="s">
        <v>475</v>
      </c>
      <c r="F30" s="254" t="s">
        <v>623</v>
      </c>
      <c r="G30" s="34">
        <v>240</v>
      </c>
      <c r="H30" s="517">
        <v>452.8</v>
      </c>
      <c r="I30" s="517">
        <v>540.79999999999995</v>
      </c>
      <c r="J30" s="517">
        <v>696.6</v>
      </c>
      <c r="K30" s="517">
        <v>1035.5</v>
      </c>
      <c r="L30" s="517">
        <v>708.9</v>
      </c>
      <c r="M30" s="517">
        <f>374+50</f>
        <v>424</v>
      </c>
      <c r="N30" s="517">
        <v>333.1</v>
      </c>
      <c r="O30" s="517">
        <f>455.5+39.24+114.8+68.1</f>
        <v>677.64</v>
      </c>
      <c r="P30" s="517">
        <f>794.9+85.7</f>
        <v>880.6</v>
      </c>
      <c r="Q30" s="514">
        <v>794.9</v>
      </c>
      <c r="R30" s="514">
        <f t="shared" si="0"/>
        <v>794.9</v>
      </c>
      <c r="S30" s="514">
        <f t="shared" si="1"/>
        <v>7339.74</v>
      </c>
      <c r="T30" s="33"/>
    </row>
    <row r="31" spans="1:22" ht="24.95" customHeight="1" x14ac:dyDescent="0.25">
      <c r="A31" s="284"/>
      <c r="B31" s="33"/>
      <c r="C31" s="33"/>
      <c r="D31" s="254" t="s">
        <v>18</v>
      </c>
      <c r="E31" s="254" t="s">
        <v>475</v>
      </c>
      <c r="F31" s="254" t="s">
        <v>630</v>
      </c>
      <c r="G31" s="34">
        <v>110</v>
      </c>
      <c r="H31" s="517">
        <v>17.100000000000001</v>
      </c>
      <c r="I31" s="517">
        <v>29.8</v>
      </c>
      <c r="J31" s="517">
        <v>46.6</v>
      </c>
      <c r="K31" s="517">
        <v>58.6</v>
      </c>
      <c r="L31" s="517">
        <v>84.9</v>
      </c>
      <c r="M31" s="517">
        <v>136</v>
      </c>
      <c r="N31" s="517">
        <v>115.1</v>
      </c>
      <c r="O31" s="517"/>
      <c r="P31" s="517"/>
      <c r="Q31" s="514"/>
      <c r="R31" s="514">
        <f t="shared" si="0"/>
        <v>0</v>
      </c>
      <c r="S31" s="514">
        <f t="shared" si="1"/>
        <v>488.1</v>
      </c>
      <c r="T31" s="33"/>
    </row>
    <row r="32" spans="1:22" ht="24.95" customHeight="1" x14ac:dyDescent="0.25">
      <c r="A32" s="284"/>
      <c r="B32" s="33"/>
      <c r="C32" s="33"/>
      <c r="D32" s="254" t="s">
        <v>18</v>
      </c>
      <c r="E32" s="254" t="s">
        <v>475</v>
      </c>
      <c r="F32" s="254" t="s">
        <v>632</v>
      </c>
      <c r="G32" s="34">
        <v>110</v>
      </c>
      <c r="H32" s="517"/>
      <c r="I32" s="517"/>
      <c r="J32" s="517"/>
      <c r="K32" s="517"/>
      <c r="L32" s="517"/>
      <c r="M32" s="517"/>
      <c r="N32" s="517">
        <v>295.8</v>
      </c>
      <c r="O32" s="517"/>
      <c r="P32" s="514"/>
      <c r="Q32" s="514">
        <f t="shared" si="2"/>
        <v>0</v>
      </c>
      <c r="R32" s="514">
        <f t="shared" si="0"/>
        <v>0</v>
      </c>
      <c r="S32" s="514">
        <f t="shared" si="1"/>
        <v>295.8</v>
      </c>
      <c r="T32" s="33"/>
    </row>
    <row r="33" spans="1:23" ht="24.95" customHeight="1" x14ac:dyDescent="0.25">
      <c r="A33" s="284"/>
      <c r="B33" s="33"/>
      <c r="C33" s="33"/>
      <c r="D33" s="254" t="s">
        <v>18</v>
      </c>
      <c r="E33" s="254" t="s">
        <v>475</v>
      </c>
      <c r="F33" s="254" t="s">
        <v>611</v>
      </c>
      <c r="G33" s="34">
        <v>110</v>
      </c>
      <c r="H33" s="517"/>
      <c r="I33" s="517"/>
      <c r="J33" s="517"/>
      <c r="K33" s="517"/>
      <c r="L33" s="517"/>
      <c r="M33" s="517"/>
      <c r="N33" s="517">
        <v>42.6</v>
      </c>
      <c r="O33" s="517"/>
      <c r="P33" s="514"/>
      <c r="Q33" s="514"/>
      <c r="R33" s="514">
        <f t="shared" si="0"/>
        <v>0</v>
      </c>
      <c r="S33" s="514">
        <f t="shared" si="1"/>
        <v>42.6</v>
      </c>
      <c r="T33" s="33"/>
      <c r="W33" s="54">
        <f>O29+O30+O37+O19</f>
        <v>6756.4400000000005</v>
      </c>
    </row>
    <row r="34" spans="1:23" ht="24.95" customHeight="1" x14ac:dyDescent="0.25">
      <c r="A34" s="284"/>
      <c r="B34" s="33"/>
      <c r="C34" s="33"/>
      <c r="D34" s="254" t="s">
        <v>18</v>
      </c>
      <c r="E34" s="254" t="s">
        <v>475</v>
      </c>
      <c r="F34" s="254" t="s">
        <v>638</v>
      </c>
      <c r="G34" s="34">
        <v>110</v>
      </c>
      <c r="H34" s="517">
        <v>41.5</v>
      </c>
      <c r="I34" s="517">
        <v>4.4000000000000004</v>
      </c>
      <c r="J34" s="517"/>
      <c r="K34" s="517"/>
      <c r="L34" s="517"/>
      <c r="M34" s="517"/>
      <c r="N34" s="517"/>
      <c r="O34" s="517"/>
      <c r="P34" s="514">
        <f>O34</f>
        <v>0</v>
      </c>
      <c r="Q34" s="514">
        <f t="shared" si="2"/>
        <v>0</v>
      </c>
      <c r="R34" s="514">
        <f t="shared" si="0"/>
        <v>0</v>
      </c>
      <c r="S34" s="514">
        <f t="shared" si="1"/>
        <v>45.9</v>
      </c>
      <c r="T34" s="33"/>
    </row>
    <row r="35" spans="1:23" ht="24.95" customHeight="1" x14ac:dyDescent="0.25">
      <c r="A35" s="284"/>
      <c r="B35" s="33"/>
      <c r="C35" s="33"/>
      <c r="D35" s="254" t="s">
        <v>18</v>
      </c>
      <c r="E35" s="254" t="s">
        <v>475</v>
      </c>
      <c r="F35" s="254" t="s">
        <v>633</v>
      </c>
      <c r="G35" s="34">
        <v>110</v>
      </c>
      <c r="H35" s="517">
        <v>0.6</v>
      </c>
      <c r="I35" s="517"/>
      <c r="J35" s="517"/>
      <c r="K35" s="517"/>
      <c r="L35" s="517"/>
      <c r="M35" s="517">
        <v>52.2</v>
      </c>
      <c r="N35" s="517"/>
      <c r="O35" s="517"/>
      <c r="P35" s="514">
        <f>O35</f>
        <v>0</v>
      </c>
      <c r="Q35" s="514">
        <f t="shared" si="2"/>
        <v>0</v>
      </c>
      <c r="R35" s="514">
        <f t="shared" si="0"/>
        <v>0</v>
      </c>
      <c r="S35" s="514">
        <f t="shared" si="1"/>
        <v>52.800000000000004</v>
      </c>
      <c r="T35" s="33"/>
    </row>
    <row r="36" spans="1:23" ht="37.9" customHeight="1" x14ac:dyDescent="0.25">
      <c r="A36" s="284"/>
      <c r="B36" s="33"/>
      <c r="C36" s="33"/>
      <c r="D36" s="254" t="s">
        <v>18</v>
      </c>
      <c r="E36" s="254" t="s">
        <v>475</v>
      </c>
      <c r="F36" s="254" t="s">
        <v>631</v>
      </c>
      <c r="G36" s="34">
        <v>110</v>
      </c>
      <c r="H36" s="517"/>
      <c r="I36" s="517"/>
      <c r="J36" s="517"/>
      <c r="K36" s="517"/>
      <c r="L36" s="517"/>
      <c r="M36" s="517">
        <v>1.3</v>
      </c>
      <c r="N36" s="517">
        <v>12.5</v>
      </c>
      <c r="O36" s="517">
        <v>0</v>
      </c>
      <c r="P36" s="514">
        <v>0</v>
      </c>
      <c r="Q36" s="514">
        <f t="shared" si="2"/>
        <v>0</v>
      </c>
      <c r="R36" s="514">
        <f t="shared" si="0"/>
        <v>0</v>
      </c>
      <c r="S36" s="514">
        <f t="shared" si="1"/>
        <v>13.8</v>
      </c>
      <c r="T36" s="33"/>
    </row>
    <row r="37" spans="1:23" ht="24.6" customHeight="1" x14ac:dyDescent="0.25">
      <c r="A37" s="284"/>
      <c r="B37" s="33"/>
      <c r="C37" s="33"/>
      <c r="D37" s="254" t="s">
        <v>18</v>
      </c>
      <c r="E37" s="254" t="s">
        <v>475</v>
      </c>
      <c r="F37" s="254" t="s">
        <v>623</v>
      </c>
      <c r="G37" s="34">
        <v>350</v>
      </c>
      <c r="H37" s="517"/>
      <c r="I37" s="517"/>
      <c r="J37" s="517">
        <v>178.1</v>
      </c>
      <c r="K37" s="517">
        <v>228.1</v>
      </c>
      <c r="L37" s="517">
        <v>209.8</v>
      </c>
      <c r="M37" s="517">
        <v>280</v>
      </c>
      <c r="N37" s="517">
        <v>260</v>
      </c>
      <c r="O37" s="517">
        <v>280</v>
      </c>
      <c r="P37" s="517">
        <v>280</v>
      </c>
      <c r="Q37" s="514">
        <v>280</v>
      </c>
      <c r="R37" s="514">
        <f t="shared" si="0"/>
        <v>280</v>
      </c>
      <c r="S37" s="514">
        <f t="shared" si="1"/>
        <v>2276</v>
      </c>
      <c r="T37" s="33"/>
    </row>
    <row r="38" spans="1:23" ht="24.95" customHeight="1" x14ac:dyDescent="0.25">
      <c r="A38" s="284"/>
      <c r="B38" s="33"/>
      <c r="C38" s="33"/>
      <c r="D38" s="254" t="s">
        <v>18</v>
      </c>
      <c r="E38" s="254" t="s">
        <v>475</v>
      </c>
      <c r="F38" s="254" t="s">
        <v>623</v>
      </c>
      <c r="G38" s="34">
        <v>360</v>
      </c>
      <c r="H38" s="517"/>
      <c r="I38" s="517"/>
      <c r="J38" s="517">
        <v>102</v>
      </c>
      <c r="K38" s="517">
        <v>70</v>
      </c>
      <c r="L38" s="517">
        <v>100</v>
      </c>
      <c r="M38" s="517"/>
      <c r="N38" s="517"/>
      <c r="O38" s="517"/>
      <c r="P38" s="514">
        <f>O38</f>
        <v>0</v>
      </c>
      <c r="Q38" s="514">
        <f t="shared" si="2"/>
        <v>0</v>
      </c>
      <c r="R38" s="514">
        <f t="shared" si="0"/>
        <v>0</v>
      </c>
      <c r="S38" s="514">
        <f t="shared" si="1"/>
        <v>272</v>
      </c>
      <c r="T38" s="33"/>
    </row>
    <row r="39" spans="1:23" ht="24.95" customHeight="1" x14ac:dyDescent="0.25">
      <c r="A39" s="284"/>
      <c r="B39" s="33"/>
      <c r="C39" s="33"/>
      <c r="D39" s="254" t="s">
        <v>18</v>
      </c>
      <c r="E39" s="254" t="s">
        <v>475</v>
      </c>
      <c r="F39" s="254" t="s">
        <v>623</v>
      </c>
      <c r="G39" s="34">
        <v>850</v>
      </c>
      <c r="H39" s="517"/>
      <c r="I39" s="517"/>
      <c r="J39" s="517"/>
      <c r="K39" s="517">
        <v>10.1</v>
      </c>
      <c r="L39" s="517"/>
      <c r="M39" s="517">
        <v>0.1</v>
      </c>
      <c r="N39" s="517"/>
      <c r="O39" s="517">
        <v>8</v>
      </c>
      <c r="P39" s="518"/>
      <c r="Q39" s="518"/>
      <c r="R39" s="515"/>
      <c r="S39" s="514">
        <f t="shared" si="1"/>
        <v>18.2</v>
      </c>
      <c r="T39" s="33"/>
    </row>
    <row r="40" spans="1:23" ht="42.6" customHeight="1" x14ac:dyDescent="0.25">
      <c r="A40" s="284"/>
      <c r="B40" s="33"/>
      <c r="C40" s="33"/>
      <c r="D40" s="254" t="s">
        <v>18</v>
      </c>
      <c r="E40" s="254" t="s">
        <v>475</v>
      </c>
      <c r="F40" s="254" t="s">
        <v>628</v>
      </c>
      <c r="G40" s="34">
        <v>110</v>
      </c>
      <c r="H40" s="517"/>
      <c r="I40" s="517"/>
      <c r="J40" s="517"/>
      <c r="K40" s="517"/>
      <c r="L40" s="517">
        <v>164.2</v>
      </c>
      <c r="M40" s="517"/>
      <c r="N40" s="517"/>
      <c r="O40" s="517"/>
      <c r="P40" s="514">
        <f>O40</f>
        <v>0</v>
      </c>
      <c r="Q40" s="514">
        <f t="shared" si="2"/>
        <v>0</v>
      </c>
      <c r="R40" s="514">
        <f t="shared" si="0"/>
        <v>0</v>
      </c>
      <c r="S40" s="514">
        <f t="shared" si="1"/>
        <v>164.2</v>
      </c>
      <c r="T40" s="33"/>
    </row>
    <row r="41" spans="1:23" ht="24.95" customHeight="1" x14ac:dyDescent="0.25">
      <c r="A41" s="284"/>
      <c r="B41" s="33"/>
      <c r="C41" s="33"/>
      <c r="D41" s="254" t="s">
        <v>18</v>
      </c>
      <c r="E41" s="254" t="s">
        <v>475</v>
      </c>
      <c r="F41" s="254" t="s">
        <v>639</v>
      </c>
      <c r="G41" s="34">
        <v>110</v>
      </c>
      <c r="H41" s="517">
        <v>0</v>
      </c>
      <c r="I41" s="517">
        <v>0</v>
      </c>
      <c r="J41" s="517">
        <v>0</v>
      </c>
      <c r="K41" s="517">
        <v>210.1</v>
      </c>
      <c r="L41" s="517"/>
      <c r="M41" s="517">
        <v>0</v>
      </c>
      <c r="N41" s="517">
        <v>0</v>
      </c>
      <c r="O41" s="517">
        <v>0</v>
      </c>
      <c r="P41" s="514">
        <f>O41</f>
        <v>0</v>
      </c>
      <c r="Q41" s="514">
        <f t="shared" si="2"/>
        <v>0</v>
      </c>
      <c r="R41" s="514">
        <f t="shared" si="0"/>
        <v>0</v>
      </c>
      <c r="S41" s="514">
        <f t="shared" si="1"/>
        <v>210.1</v>
      </c>
      <c r="T41" s="33"/>
    </row>
    <row r="42" spans="1:23" ht="48.6" customHeight="1" x14ac:dyDescent="0.25">
      <c r="A42" s="275" t="s">
        <v>640</v>
      </c>
      <c r="B42" s="40" t="s">
        <v>641</v>
      </c>
      <c r="C42" s="40" t="s">
        <v>642</v>
      </c>
      <c r="D42" s="254" t="s">
        <v>18</v>
      </c>
      <c r="E42" s="254" t="s">
        <v>475</v>
      </c>
      <c r="F42" s="254" t="s">
        <v>623</v>
      </c>
      <c r="G42" s="34">
        <v>110</v>
      </c>
      <c r="H42" s="517"/>
      <c r="I42" s="517"/>
      <c r="J42" s="517"/>
      <c r="K42" s="517"/>
      <c r="L42" s="517"/>
      <c r="M42" s="517">
        <v>2933.4</v>
      </c>
      <c r="N42" s="517">
        <v>7572.5</v>
      </c>
      <c r="O42" s="517">
        <v>11389.5</v>
      </c>
      <c r="P42" s="514">
        <f>13041.1-80</f>
        <v>12961.1</v>
      </c>
      <c r="Q42" s="514">
        <v>11674.8</v>
      </c>
      <c r="R42" s="514">
        <f t="shared" si="0"/>
        <v>11674.8</v>
      </c>
      <c r="S42" s="514">
        <f t="shared" si="1"/>
        <v>58206.100000000006</v>
      </c>
      <c r="T42" s="33"/>
    </row>
    <row r="43" spans="1:23" ht="48.6" customHeight="1" x14ac:dyDescent="0.25">
      <c r="A43" s="519"/>
      <c r="B43" s="42"/>
      <c r="C43" s="42"/>
      <c r="D43" s="254" t="s">
        <v>18</v>
      </c>
      <c r="E43" s="254" t="s">
        <v>475</v>
      </c>
      <c r="F43" s="254" t="s">
        <v>631</v>
      </c>
      <c r="G43" s="34">
        <v>110</v>
      </c>
      <c r="H43" s="517"/>
      <c r="I43" s="517"/>
      <c r="J43" s="517"/>
      <c r="K43" s="517"/>
      <c r="L43" s="517"/>
      <c r="M43" s="517">
        <v>24</v>
      </c>
      <c r="N43" s="517">
        <v>217.3</v>
      </c>
      <c r="O43" s="517"/>
      <c r="P43" s="514"/>
      <c r="Q43" s="514">
        <f t="shared" si="2"/>
        <v>0</v>
      </c>
      <c r="R43" s="514">
        <f t="shared" si="0"/>
        <v>0</v>
      </c>
      <c r="S43" s="514">
        <f t="shared" si="1"/>
        <v>241.3</v>
      </c>
      <c r="T43" s="33"/>
    </row>
    <row r="44" spans="1:23" ht="48.6" customHeight="1" x14ac:dyDescent="0.25">
      <c r="A44" s="519"/>
      <c r="B44" s="42"/>
      <c r="C44" s="42"/>
      <c r="D44" s="254" t="s">
        <v>18</v>
      </c>
      <c r="E44" s="254" t="s">
        <v>475</v>
      </c>
      <c r="F44" s="254" t="s">
        <v>611</v>
      </c>
      <c r="G44" s="34">
        <v>110</v>
      </c>
      <c r="H44" s="517"/>
      <c r="I44" s="517"/>
      <c r="J44" s="517"/>
      <c r="K44" s="517"/>
      <c r="L44" s="517"/>
      <c r="M44" s="517"/>
      <c r="N44" s="517">
        <v>62.2</v>
      </c>
      <c r="O44" s="517"/>
      <c r="P44" s="514"/>
      <c r="Q44" s="514"/>
      <c r="R44" s="514">
        <f t="shared" si="0"/>
        <v>0</v>
      </c>
      <c r="S44" s="514">
        <f t="shared" si="1"/>
        <v>62.2</v>
      </c>
      <c r="T44" s="33"/>
    </row>
    <row r="45" spans="1:23" ht="48.6" customHeight="1" x14ac:dyDescent="0.25">
      <c r="A45" s="519"/>
      <c r="B45" s="42"/>
      <c r="C45" s="42"/>
      <c r="D45" s="254" t="s">
        <v>18</v>
      </c>
      <c r="E45" s="254" t="s">
        <v>475</v>
      </c>
      <c r="F45" s="254" t="s">
        <v>643</v>
      </c>
      <c r="G45" s="34">
        <v>110</v>
      </c>
      <c r="H45" s="517"/>
      <c r="I45" s="517"/>
      <c r="J45" s="517"/>
      <c r="K45" s="517"/>
      <c r="L45" s="517"/>
      <c r="M45" s="517">
        <v>172.3</v>
      </c>
      <c r="N45" s="517"/>
      <c r="O45" s="517"/>
      <c r="P45" s="514"/>
      <c r="Q45" s="514">
        <f t="shared" si="2"/>
        <v>0</v>
      </c>
      <c r="R45" s="514">
        <f t="shared" si="0"/>
        <v>0</v>
      </c>
      <c r="S45" s="514">
        <f t="shared" si="1"/>
        <v>172.3</v>
      </c>
      <c r="T45" s="33"/>
    </row>
    <row r="46" spans="1:23" ht="48.6" customHeight="1" x14ac:dyDescent="0.25">
      <c r="A46" s="519"/>
      <c r="B46" s="42"/>
      <c r="C46" s="42"/>
      <c r="D46" s="254" t="s">
        <v>18</v>
      </c>
      <c r="E46" s="254" t="s">
        <v>475</v>
      </c>
      <c r="F46" s="254" t="s">
        <v>632</v>
      </c>
      <c r="G46" s="34">
        <v>110</v>
      </c>
      <c r="H46" s="517"/>
      <c r="I46" s="517"/>
      <c r="J46" s="517"/>
      <c r="K46" s="517"/>
      <c r="L46" s="517"/>
      <c r="M46" s="517"/>
      <c r="N46" s="517">
        <v>202.8</v>
      </c>
      <c r="O46" s="517"/>
      <c r="P46" s="514"/>
      <c r="Q46" s="514">
        <f t="shared" si="2"/>
        <v>0</v>
      </c>
      <c r="R46" s="514">
        <f t="shared" si="0"/>
        <v>0</v>
      </c>
      <c r="S46" s="514">
        <f t="shared" si="1"/>
        <v>202.8</v>
      </c>
      <c r="T46" s="33"/>
    </row>
    <row r="47" spans="1:23" ht="48.6" customHeight="1" x14ac:dyDescent="0.25">
      <c r="A47" s="519"/>
      <c r="B47" s="42"/>
      <c r="C47" s="42"/>
      <c r="D47" s="254" t="s">
        <v>18</v>
      </c>
      <c r="E47" s="254" t="s">
        <v>475</v>
      </c>
      <c r="F47" s="254" t="s">
        <v>633</v>
      </c>
      <c r="G47" s="34">
        <v>110</v>
      </c>
      <c r="H47" s="517"/>
      <c r="I47" s="517"/>
      <c r="J47" s="517"/>
      <c r="K47" s="517"/>
      <c r="L47" s="517"/>
      <c r="M47" s="517">
        <v>51.5</v>
      </c>
      <c r="N47" s="517"/>
      <c r="O47" s="517"/>
      <c r="P47" s="514"/>
      <c r="Q47" s="514">
        <f t="shared" si="2"/>
        <v>0</v>
      </c>
      <c r="R47" s="514">
        <f t="shared" si="0"/>
        <v>0</v>
      </c>
      <c r="S47" s="514">
        <f t="shared" si="1"/>
        <v>51.5</v>
      </c>
      <c r="T47" s="33"/>
    </row>
    <row r="48" spans="1:23" ht="24.95" customHeight="1" x14ac:dyDescent="0.25">
      <c r="A48" s="519"/>
      <c r="B48" s="42"/>
      <c r="C48" s="42"/>
      <c r="D48" s="254" t="s">
        <v>18</v>
      </c>
      <c r="E48" s="254" t="s">
        <v>475</v>
      </c>
      <c r="F48" s="254" t="s">
        <v>623</v>
      </c>
      <c r="G48" s="34">
        <v>240</v>
      </c>
      <c r="H48" s="517"/>
      <c r="I48" s="517"/>
      <c r="J48" s="517"/>
      <c r="K48" s="517"/>
      <c r="L48" s="517"/>
      <c r="M48" s="517">
        <v>2454.6</v>
      </c>
      <c r="N48" s="517">
        <v>3780.8</v>
      </c>
      <c r="O48" s="517">
        <v>5328</v>
      </c>
      <c r="P48" s="514">
        <f>5299.6+80</f>
        <v>5379.6</v>
      </c>
      <c r="Q48" s="514">
        <v>5299.6</v>
      </c>
      <c r="R48" s="514">
        <f t="shared" si="0"/>
        <v>5299.6</v>
      </c>
      <c r="S48" s="514">
        <f t="shared" si="1"/>
        <v>27542.199999999997</v>
      </c>
      <c r="T48" s="33"/>
    </row>
    <row r="49" spans="1:20" ht="24.95" customHeight="1" x14ac:dyDescent="0.25">
      <c r="A49" s="519"/>
      <c r="B49" s="42"/>
      <c r="C49" s="42"/>
      <c r="D49" s="254" t="s">
        <v>18</v>
      </c>
      <c r="E49" s="254" t="s">
        <v>475</v>
      </c>
      <c r="F49" s="254" t="s">
        <v>623</v>
      </c>
      <c r="G49" s="34">
        <v>320</v>
      </c>
      <c r="H49" s="517"/>
      <c r="I49" s="517"/>
      <c r="J49" s="517"/>
      <c r="K49" s="517"/>
      <c r="L49" s="517"/>
      <c r="M49" s="517">
        <v>310.10000000000002</v>
      </c>
      <c r="N49" s="517"/>
      <c r="O49" s="517"/>
      <c r="P49" s="514">
        <f>O49</f>
        <v>0</v>
      </c>
      <c r="Q49" s="514">
        <f t="shared" si="2"/>
        <v>0</v>
      </c>
      <c r="R49" s="514">
        <f t="shared" si="0"/>
        <v>0</v>
      </c>
      <c r="S49" s="514">
        <f t="shared" si="1"/>
        <v>310.10000000000002</v>
      </c>
      <c r="T49" s="33"/>
    </row>
    <row r="50" spans="1:20" ht="24.95" customHeight="1" x14ac:dyDescent="0.25">
      <c r="A50" s="519"/>
      <c r="B50" s="42"/>
      <c r="C50" s="42"/>
      <c r="D50" s="254" t="s">
        <v>18</v>
      </c>
      <c r="E50" s="254" t="s">
        <v>475</v>
      </c>
      <c r="F50" s="254" t="s">
        <v>623</v>
      </c>
      <c r="G50" s="34">
        <v>800</v>
      </c>
      <c r="H50" s="517"/>
      <c r="I50" s="517"/>
      <c r="J50" s="517"/>
      <c r="K50" s="517"/>
      <c r="L50" s="517"/>
      <c r="M50" s="517">
        <v>29.3</v>
      </c>
      <c r="N50" s="517">
        <f>21+8.3</f>
        <v>29.3</v>
      </c>
      <c r="O50" s="517"/>
      <c r="P50" s="514">
        <v>37</v>
      </c>
      <c r="Q50" s="514">
        <v>37</v>
      </c>
      <c r="R50" s="514">
        <v>37</v>
      </c>
      <c r="S50" s="514">
        <f t="shared" si="1"/>
        <v>169.6</v>
      </c>
      <c r="T50" s="33"/>
    </row>
    <row r="51" spans="1:20" ht="24.95" customHeight="1" x14ac:dyDescent="0.25">
      <c r="A51" s="277"/>
      <c r="B51" s="75"/>
      <c r="C51" s="75"/>
      <c r="D51" s="254" t="s">
        <v>18</v>
      </c>
      <c r="E51" s="254" t="s">
        <v>475</v>
      </c>
      <c r="F51" s="254" t="s">
        <v>630</v>
      </c>
      <c r="G51" s="34">
        <v>110</v>
      </c>
      <c r="H51" s="517"/>
      <c r="I51" s="517"/>
      <c r="J51" s="517"/>
      <c r="K51" s="517"/>
      <c r="L51" s="517"/>
      <c r="M51" s="517">
        <v>1700.2</v>
      </c>
      <c r="N51" s="517">
        <f>1887.7+576.2</f>
        <v>2463.9</v>
      </c>
      <c r="O51" s="517"/>
      <c r="P51" s="514"/>
      <c r="Q51" s="514">
        <f t="shared" si="2"/>
        <v>0</v>
      </c>
      <c r="R51" s="514">
        <f t="shared" si="0"/>
        <v>0</v>
      </c>
      <c r="S51" s="514">
        <f t="shared" si="1"/>
        <v>4164.1000000000004</v>
      </c>
      <c r="T51" s="33"/>
    </row>
    <row r="52" spans="1:20" ht="24.95" customHeight="1" x14ac:dyDescent="0.25">
      <c r="A52" s="520" t="s">
        <v>336</v>
      </c>
      <c r="B52" s="520"/>
      <c r="C52" s="12"/>
      <c r="D52" s="254"/>
      <c r="E52" s="254"/>
      <c r="F52" s="291"/>
      <c r="G52" s="254"/>
      <c r="H52" s="517">
        <f>SUM(H7:H41)</f>
        <v>19536.699999999997</v>
      </c>
      <c r="I52" s="517">
        <f>SUM(I7:I41)</f>
        <v>21029.500000000004</v>
      </c>
      <c r="J52" s="517">
        <f>SUM(J7:J41)</f>
        <v>21804.799999999996</v>
      </c>
      <c r="K52" s="517">
        <f>SUM(K7:K41)</f>
        <v>23513.399999999994</v>
      </c>
      <c r="L52" s="517">
        <f>SUM(L7:L41)</f>
        <v>24124.210000000003</v>
      </c>
      <c r="M52" s="517">
        <f t="shared" ref="M52:R52" si="4">SUM(M7:M51)</f>
        <v>32474.699999999997</v>
      </c>
      <c r="N52" s="517">
        <f t="shared" si="4"/>
        <v>42023.500000000007</v>
      </c>
      <c r="O52" s="517">
        <f t="shared" si="4"/>
        <v>48659.74</v>
      </c>
      <c r="P52" s="517">
        <f t="shared" si="4"/>
        <v>56503.199999999997</v>
      </c>
      <c r="Q52" s="517">
        <f t="shared" si="4"/>
        <v>50749.9</v>
      </c>
      <c r="R52" s="517">
        <f t="shared" si="4"/>
        <v>50749.9</v>
      </c>
      <c r="S52" s="514">
        <f t="shared" si="1"/>
        <v>391169.55000000005</v>
      </c>
      <c r="T52" s="33"/>
    </row>
    <row r="53" spans="1:20" ht="35.1" customHeight="1" x14ac:dyDescent="0.25">
      <c r="A53" s="251" t="s">
        <v>600</v>
      </c>
      <c r="B53" s="251"/>
      <c r="C53" s="251"/>
      <c r="D53" s="251"/>
      <c r="E53" s="251"/>
      <c r="F53" s="251"/>
      <c r="G53" s="251"/>
      <c r="H53" s="251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251"/>
      <c r="T53" s="251"/>
    </row>
    <row r="54" spans="1:20" ht="24.95" customHeight="1" x14ac:dyDescent="0.25">
      <c r="A54" s="284" t="s">
        <v>644</v>
      </c>
      <c r="B54" s="521" t="s">
        <v>645</v>
      </c>
      <c r="C54" s="33" t="s">
        <v>646</v>
      </c>
      <c r="D54" s="522" t="s">
        <v>18</v>
      </c>
      <c r="E54" s="523" t="s">
        <v>475</v>
      </c>
      <c r="F54" s="254" t="s">
        <v>647</v>
      </c>
      <c r="G54" s="12">
        <v>120</v>
      </c>
      <c r="H54" s="517">
        <v>817.5</v>
      </c>
      <c r="I54" s="517">
        <v>841.6</v>
      </c>
      <c r="J54" s="517">
        <v>858.7</v>
      </c>
      <c r="K54" s="517">
        <v>858.7</v>
      </c>
      <c r="L54" s="517">
        <v>1430.7</v>
      </c>
      <c r="M54" s="517">
        <v>1626.7</v>
      </c>
      <c r="N54" s="517">
        <v>1904.9</v>
      </c>
      <c r="O54" s="517">
        <v>2072.4</v>
      </c>
      <c r="P54" s="517">
        <f>2279.6+98</f>
        <v>2377.6</v>
      </c>
      <c r="Q54" s="517">
        <v>2072.4</v>
      </c>
      <c r="R54" s="517">
        <f t="shared" ref="Q54:R57" si="5">Q54</f>
        <v>2072.4</v>
      </c>
      <c r="S54" s="517">
        <f>SUM(H54:R54)</f>
        <v>16933.599999999999</v>
      </c>
      <c r="T54" s="33" t="s">
        <v>648</v>
      </c>
    </row>
    <row r="55" spans="1:20" ht="24.95" customHeight="1" x14ac:dyDescent="0.25">
      <c r="A55" s="284"/>
      <c r="B55" s="521"/>
      <c r="C55" s="33"/>
      <c r="D55" s="522"/>
      <c r="E55" s="523"/>
      <c r="F55" s="254" t="s">
        <v>647</v>
      </c>
      <c r="G55" s="12">
        <v>850</v>
      </c>
      <c r="H55" s="517"/>
      <c r="I55" s="517"/>
      <c r="J55" s="517">
        <v>0.3</v>
      </c>
      <c r="K55" s="517"/>
      <c r="L55" s="517">
        <v>0.6</v>
      </c>
      <c r="M55" s="517">
        <v>0.6</v>
      </c>
      <c r="N55" s="517">
        <v>0.6</v>
      </c>
      <c r="O55" s="517">
        <v>0</v>
      </c>
      <c r="P55" s="517">
        <v>0</v>
      </c>
      <c r="Q55" s="517">
        <f t="shared" si="5"/>
        <v>0</v>
      </c>
      <c r="R55" s="517">
        <f t="shared" si="5"/>
        <v>0</v>
      </c>
      <c r="S55" s="517">
        <f t="shared" ref="S55:S64" si="6">SUM(H55:R55)</f>
        <v>2.1</v>
      </c>
      <c r="T55" s="33"/>
    </row>
    <row r="56" spans="1:20" ht="24.95" customHeight="1" x14ac:dyDescent="0.25">
      <c r="A56" s="284"/>
      <c r="B56" s="521"/>
      <c r="C56" s="33"/>
      <c r="D56" s="522"/>
      <c r="E56" s="523"/>
      <c r="F56" s="254" t="s">
        <v>647</v>
      </c>
      <c r="G56" s="34">
        <v>244</v>
      </c>
      <c r="H56" s="517">
        <v>248</v>
      </c>
      <c r="I56" s="517">
        <v>247.9</v>
      </c>
      <c r="J56" s="517">
        <v>247.6</v>
      </c>
      <c r="K56" s="517">
        <v>247.9</v>
      </c>
      <c r="L56" s="517">
        <v>383.9</v>
      </c>
      <c r="M56" s="517">
        <v>399</v>
      </c>
      <c r="N56" s="517">
        <v>399</v>
      </c>
      <c r="O56" s="517">
        <v>432.2</v>
      </c>
      <c r="P56" s="517">
        <v>449</v>
      </c>
      <c r="Q56" s="517">
        <v>449</v>
      </c>
      <c r="R56" s="517">
        <f t="shared" si="5"/>
        <v>449</v>
      </c>
      <c r="S56" s="517">
        <f t="shared" si="6"/>
        <v>3952.5</v>
      </c>
      <c r="T56" s="33"/>
    </row>
    <row r="57" spans="1:20" ht="24.95" customHeight="1" x14ac:dyDescent="0.25">
      <c r="A57" s="284" t="s">
        <v>649</v>
      </c>
      <c r="B57" s="521" t="s">
        <v>650</v>
      </c>
      <c r="C57" s="33" t="s">
        <v>651</v>
      </c>
      <c r="D57" s="254" t="s">
        <v>20</v>
      </c>
      <c r="E57" s="254" t="s">
        <v>310</v>
      </c>
      <c r="F57" s="254" t="s">
        <v>652</v>
      </c>
      <c r="G57" s="254" t="s">
        <v>653</v>
      </c>
      <c r="H57" s="517">
        <v>2129.1999999999998</v>
      </c>
      <c r="I57" s="517">
        <v>3247.3</v>
      </c>
      <c r="J57" s="517">
        <v>9009.9</v>
      </c>
      <c r="K57" s="517">
        <v>0</v>
      </c>
      <c r="L57" s="517"/>
      <c r="M57" s="517"/>
      <c r="N57" s="517"/>
      <c r="O57" s="517"/>
      <c r="P57" s="517">
        <f>O57</f>
        <v>0</v>
      </c>
      <c r="Q57" s="517">
        <f t="shared" si="5"/>
        <v>0</v>
      </c>
      <c r="R57" s="517">
        <f t="shared" si="5"/>
        <v>0</v>
      </c>
      <c r="S57" s="517">
        <f t="shared" si="6"/>
        <v>14386.4</v>
      </c>
      <c r="T57" s="33" t="s">
        <v>654</v>
      </c>
    </row>
    <row r="58" spans="1:20" ht="24.95" customHeight="1" x14ac:dyDescent="0.25">
      <c r="A58" s="284"/>
      <c r="B58" s="521"/>
      <c r="C58" s="33"/>
      <c r="D58" s="254" t="s">
        <v>20</v>
      </c>
      <c r="E58" s="254" t="s">
        <v>310</v>
      </c>
      <c r="F58" s="254" t="s">
        <v>655</v>
      </c>
      <c r="G58" s="254" t="s">
        <v>653</v>
      </c>
      <c r="H58" s="517">
        <v>5394</v>
      </c>
      <c r="I58" s="517">
        <v>4190.7</v>
      </c>
      <c r="J58" s="517"/>
      <c r="K58" s="517"/>
      <c r="L58" s="517"/>
      <c r="M58" s="517"/>
      <c r="N58" s="517"/>
      <c r="O58" s="517">
        <v>5577.5</v>
      </c>
      <c r="P58" s="517">
        <v>26172.400000000001</v>
      </c>
      <c r="Q58" s="517">
        <f>6003.5+3482.1</f>
        <v>9485.6</v>
      </c>
      <c r="R58" s="517">
        <f>3482.1</f>
        <v>3482.1</v>
      </c>
      <c r="S58" s="517">
        <f t="shared" si="6"/>
        <v>54302.3</v>
      </c>
      <c r="T58" s="33"/>
    </row>
    <row r="59" spans="1:20" ht="40.9" customHeight="1" x14ac:dyDescent="0.25">
      <c r="A59" s="284"/>
      <c r="B59" s="521"/>
      <c r="C59" s="33"/>
      <c r="D59" s="254" t="s">
        <v>20</v>
      </c>
      <c r="E59" s="254" t="s">
        <v>310</v>
      </c>
      <c r="F59" s="254" t="s">
        <v>656</v>
      </c>
      <c r="G59" s="254" t="s">
        <v>653</v>
      </c>
      <c r="H59" s="517"/>
      <c r="I59" s="517"/>
      <c r="J59" s="517">
        <v>473.9</v>
      </c>
      <c r="K59" s="517">
        <f>5610+2805+765</f>
        <v>9180</v>
      </c>
      <c r="L59" s="517">
        <v>10241.9</v>
      </c>
      <c r="M59" s="517">
        <v>9907.9</v>
      </c>
      <c r="N59" s="517">
        <v>15279.7</v>
      </c>
      <c r="O59" s="517">
        <f>3555.7-3473.3-82.4</f>
        <v>-3.694822225952521E-13</v>
      </c>
      <c r="P59" s="517">
        <v>920</v>
      </c>
      <c r="Q59" s="517">
        <v>8525.1</v>
      </c>
      <c r="R59" s="517">
        <v>8525.1</v>
      </c>
      <c r="S59" s="517">
        <f t="shared" si="6"/>
        <v>63053.599999999991</v>
      </c>
      <c r="T59" s="33"/>
    </row>
    <row r="60" spans="1:20" ht="35.1" customHeight="1" x14ac:dyDescent="0.3">
      <c r="A60" s="524" t="s">
        <v>490</v>
      </c>
      <c r="B60" s="524"/>
      <c r="C60" s="525"/>
      <c r="D60" s="526"/>
      <c r="E60" s="526"/>
      <c r="F60" s="527"/>
      <c r="G60" s="526"/>
      <c r="H60" s="517">
        <f t="shared" ref="H60:N60" si="7">SUM(H54:H59)</f>
        <v>8588.7000000000007</v>
      </c>
      <c r="I60" s="517">
        <f t="shared" si="7"/>
        <v>8527.5</v>
      </c>
      <c r="J60" s="517">
        <f t="shared" si="7"/>
        <v>10590.4</v>
      </c>
      <c r="K60" s="517">
        <f t="shared" si="7"/>
        <v>10286.6</v>
      </c>
      <c r="L60" s="517">
        <f>SUM(L54:L59)</f>
        <v>12057.099999999999</v>
      </c>
      <c r="M60" s="517">
        <f t="shared" si="7"/>
        <v>11934.199999999999</v>
      </c>
      <c r="N60" s="517">
        <f t="shared" si="7"/>
        <v>17584.2</v>
      </c>
      <c r="O60" s="517">
        <f>SUM(O54:O59)</f>
        <v>8082.1</v>
      </c>
      <c r="P60" s="517">
        <f>SUM(P54:P59)</f>
        <v>29919</v>
      </c>
      <c r="Q60" s="517">
        <f>SUM(Q54:Q59)</f>
        <v>20532.099999999999</v>
      </c>
      <c r="R60" s="517">
        <f>R54+R56+R58+R59</f>
        <v>14528.6</v>
      </c>
      <c r="S60" s="517">
        <f t="shared" si="6"/>
        <v>152630.5</v>
      </c>
      <c r="T60" s="528"/>
    </row>
    <row r="61" spans="1:20" s="148" customFormat="1" ht="35.1" customHeight="1" x14ac:dyDescent="0.2">
      <c r="A61" s="529" t="s">
        <v>337</v>
      </c>
      <c r="B61" s="529"/>
      <c r="C61" s="525"/>
      <c r="D61" s="526"/>
      <c r="E61" s="525"/>
      <c r="F61" s="525"/>
      <c r="G61" s="525"/>
      <c r="H61" s="517">
        <f t="shared" ref="H61:M61" si="8">H52+H60</f>
        <v>28125.399999999998</v>
      </c>
      <c r="I61" s="517">
        <f t="shared" si="8"/>
        <v>29557.000000000004</v>
      </c>
      <c r="J61" s="517">
        <f t="shared" si="8"/>
        <v>32395.199999999997</v>
      </c>
      <c r="K61" s="517">
        <f t="shared" si="8"/>
        <v>33799.999999999993</v>
      </c>
      <c r="L61" s="517">
        <f t="shared" si="8"/>
        <v>36181.31</v>
      </c>
      <c r="M61" s="517">
        <f t="shared" si="8"/>
        <v>44408.899999999994</v>
      </c>
      <c r="N61" s="517">
        <f>N52+N60</f>
        <v>59607.700000000012</v>
      </c>
      <c r="O61" s="517">
        <f>O52+O60</f>
        <v>56741.84</v>
      </c>
      <c r="P61" s="517">
        <f>P52+P60</f>
        <v>86422.2</v>
      </c>
      <c r="Q61" s="517">
        <f>Q52+Q60</f>
        <v>71282</v>
      </c>
      <c r="R61" s="517">
        <f>R52+R60</f>
        <v>65278.5</v>
      </c>
      <c r="S61" s="517">
        <f>SUM(H61:R61)</f>
        <v>543800.05000000005</v>
      </c>
      <c r="T61" s="530"/>
    </row>
    <row r="62" spans="1:20" s="148" customFormat="1" ht="35.1" customHeight="1" x14ac:dyDescent="0.2">
      <c r="A62" s="531" t="s">
        <v>536</v>
      </c>
      <c r="B62" s="532"/>
      <c r="C62" s="525"/>
      <c r="D62" s="526"/>
      <c r="E62" s="525"/>
      <c r="F62" s="525"/>
      <c r="G62" s="525"/>
      <c r="H62" s="517"/>
      <c r="I62" s="517"/>
      <c r="J62" s="517"/>
      <c r="K62" s="517"/>
      <c r="L62" s="517"/>
      <c r="M62" s="517"/>
      <c r="N62" s="517"/>
      <c r="O62" s="517"/>
      <c r="P62" s="517">
        <f>P59</f>
        <v>920</v>
      </c>
      <c r="Q62" s="517">
        <v>8525.1</v>
      </c>
      <c r="R62" s="517">
        <v>8525.1</v>
      </c>
      <c r="S62" s="517">
        <f>SUM(P62:R62)</f>
        <v>17970.2</v>
      </c>
      <c r="T62" s="530"/>
    </row>
    <row r="63" spans="1:20" s="148" customFormat="1" ht="35.1" customHeight="1" x14ac:dyDescent="0.2">
      <c r="A63" s="529" t="s">
        <v>338</v>
      </c>
      <c r="B63" s="529"/>
      <c r="C63" s="525"/>
      <c r="D63" s="526"/>
      <c r="E63" s="525"/>
      <c r="F63" s="525"/>
      <c r="G63" s="525"/>
      <c r="H63" s="517">
        <f>H60</f>
        <v>8588.7000000000007</v>
      </c>
      <c r="I63" s="517">
        <f>I60</f>
        <v>8527.5</v>
      </c>
      <c r="J63" s="517">
        <f>J60</f>
        <v>10590.4</v>
      </c>
      <c r="K63" s="517">
        <f>K60</f>
        <v>10286.6</v>
      </c>
      <c r="L63" s="517">
        <f>L60+L40+L18+L17+L20+L16</f>
        <v>12950.499999999998</v>
      </c>
      <c r="M63" s="517">
        <f>M15+M17+M18+M23+M26+M35+M36+M43+M45+M47+M60</f>
        <v>12440.3</v>
      </c>
      <c r="N63" s="517">
        <f>N10+N11+N13+N23+N24+N25+N32+N33+N36+N44++N43+N46+N60+N12</f>
        <v>19788.699999999997</v>
      </c>
      <c r="O63" s="517">
        <f>O15+O17+O18+O23+O26+O35+O36+O43+O45+O47+O60</f>
        <v>8082.1</v>
      </c>
      <c r="P63" s="517">
        <f>P15+P17+P18+P23+P26+P35+P36+P43+P45+P47+P60-P62</f>
        <v>28999</v>
      </c>
      <c r="Q63" s="517">
        <f>Q15+Q17+Q18+Q23+Q26+Q35+Q36+Q43+Q45+Q47+Q60-Q62</f>
        <v>12006.999999999998</v>
      </c>
      <c r="R63" s="517">
        <f>R15+R17+R18+R23+R26+R35+R36+R43+R45+R47+R60-R62</f>
        <v>6003.5</v>
      </c>
      <c r="S63" s="517">
        <f t="shared" si="6"/>
        <v>138264.29999999999</v>
      </c>
      <c r="T63" s="530"/>
    </row>
    <row r="64" spans="1:20" s="148" customFormat="1" ht="35.1" customHeight="1" x14ac:dyDescent="0.2">
      <c r="A64" s="529" t="s">
        <v>339</v>
      </c>
      <c r="B64" s="529"/>
      <c r="C64" s="525"/>
      <c r="D64" s="526"/>
      <c r="E64" s="525"/>
      <c r="F64" s="525"/>
      <c r="G64" s="525"/>
      <c r="H64" s="517">
        <f>H52</f>
        <v>19536.699999999997</v>
      </c>
      <c r="I64" s="517">
        <f>I52</f>
        <v>21029.500000000004</v>
      </c>
      <c r="J64" s="517">
        <f>J52</f>
        <v>21804.799999999996</v>
      </c>
      <c r="K64" s="517">
        <f>K52</f>
        <v>23513.399999999994</v>
      </c>
      <c r="L64" s="517">
        <f>L7+L8+L19+L21+L22+L27+L28+L29+L30+L31+L37+L38+L9</f>
        <v>23230.81</v>
      </c>
      <c r="M64" s="517">
        <f>M61-M63</f>
        <v>31968.599999999995</v>
      </c>
      <c r="N64" s="517">
        <f>N61-N63</f>
        <v>39819.000000000015</v>
      </c>
      <c r="O64" s="517">
        <f>O61-O63</f>
        <v>48659.74</v>
      </c>
      <c r="P64" s="517">
        <f>P61-P63-P62</f>
        <v>56503.199999999997</v>
      </c>
      <c r="Q64" s="517">
        <f>Q61-Q63-Q62</f>
        <v>50749.9</v>
      </c>
      <c r="R64" s="517">
        <v>50749.9</v>
      </c>
      <c r="S64" s="517">
        <f t="shared" si="6"/>
        <v>387565.55000000005</v>
      </c>
      <c r="T64" s="530"/>
    </row>
    <row r="65" spans="1:20" s="320" customFormat="1" ht="45.6" customHeight="1" x14ac:dyDescent="0.3">
      <c r="A65" s="533" t="s">
        <v>33</v>
      </c>
      <c r="B65" s="533"/>
      <c r="C65" s="533"/>
      <c r="D65" s="534"/>
      <c r="E65" s="534"/>
      <c r="F65" s="534"/>
      <c r="G65" s="534"/>
      <c r="H65" s="534"/>
      <c r="I65" s="535"/>
      <c r="J65" s="536"/>
      <c r="K65" s="537"/>
      <c r="L65" s="538"/>
      <c r="M65" s="538"/>
      <c r="N65" s="538"/>
      <c r="O65" s="538"/>
      <c r="P65" s="536"/>
      <c r="Q65" s="536"/>
      <c r="R65" s="536"/>
      <c r="S65" s="536"/>
      <c r="T65" s="539" t="s">
        <v>34</v>
      </c>
    </row>
    <row r="66" spans="1:20" x14ac:dyDescent="0.25">
      <c r="A66" s="302"/>
      <c r="B66" s="303"/>
      <c r="C66" s="304"/>
      <c r="D66" s="304"/>
      <c r="E66" s="304"/>
      <c r="F66" s="304"/>
      <c r="G66" s="304"/>
      <c r="H66" s="304"/>
      <c r="L66" s="54"/>
    </row>
    <row r="67" spans="1:20" x14ac:dyDescent="0.25">
      <c r="A67" s="302"/>
      <c r="B67" s="303"/>
      <c r="C67" s="304"/>
      <c r="D67" s="304"/>
      <c r="E67" s="304"/>
      <c r="F67" s="304"/>
      <c r="G67" s="304"/>
      <c r="H67" s="304"/>
    </row>
    <row r="68" spans="1:20" x14ac:dyDescent="0.25">
      <c r="A68" s="302"/>
      <c r="B68" s="303"/>
      <c r="C68" s="304"/>
      <c r="D68" s="304"/>
      <c r="E68" s="304"/>
      <c r="F68" s="304"/>
      <c r="G68" s="304"/>
      <c r="H68" s="304"/>
      <c r="I68" s="52"/>
    </row>
    <row r="69" spans="1:20" x14ac:dyDescent="0.25">
      <c r="A69" s="302"/>
      <c r="B69" s="303"/>
      <c r="C69" s="304"/>
      <c r="D69" s="304"/>
      <c r="E69" s="304"/>
      <c r="F69" s="304"/>
      <c r="G69" s="304"/>
      <c r="H69" s="304"/>
    </row>
    <row r="70" spans="1:20" x14ac:dyDescent="0.25">
      <c r="A70" s="302"/>
      <c r="B70" s="303"/>
      <c r="C70" s="304"/>
      <c r="D70" s="304"/>
      <c r="E70" s="304"/>
      <c r="F70" s="304"/>
      <c r="G70" s="304"/>
      <c r="H70" s="304"/>
    </row>
    <row r="71" spans="1:20" x14ac:dyDescent="0.25">
      <c r="A71" s="302"/>
      <c r="B71" s="303"/>
      <c r="C71" s="304"/>
      <c r="D71" s="304"/>
      <c r="E71" s="304"/>
      <c r="F71" s="304"/>
      <c r="G71" s="304"/>
      <c r="H71" s="304"/>
    </row>
    <row r="72" spans="1:20" x14ac:dyDescent="0.25">
      <c r="A72" s="302"/>
      <c r="B72" s="303"/>
      <c r="C72" s="304"/>
      <c r="D72" s="304"/>
      <c r="E72" s="304"/>
      <c r="F72" s="304"/>
      <c r="G72" s="304"/>
      <c r="H72" s="304"/>
    </row>
    <row r="73" spans="1:20" x14ac:dyDescent="0.25">
      <c r="A73" s="302"/>
      <c r="B73" s="303"/>
      <c r="C73" s="304"/>
      <c r="D73" s="304"/>
      <c r="E73" s="304"/>
      <c r="F73" s="304"/>
      <c r="G73" s="304"/>
      <c r="H73" s="304"/>
    </row>
    <row r="74" spans="1:20" x14ac:dyDescent="0.25">
      <c r="A74" s="302"/>
      <c r="B74" s="303"/>
      <c r="C74" s="304"/>
      <c r="D74" s="304"/>
      <c r="E74" s="304"/>
      <c r="F74" s="304"/>
      <c r="G74" s="304"/>
      <c r="H74" s="304"/>
    </row>
    <row r="75" spans="1:20" x14ac:dyDescent="0.25">
      <c r="A75" s="302"/>
      <c r="B75" s="303"/>
      <c r="C75" s="304"/>
      <c r="D75" s="304"/>
      <c r="E75" s="304"/>
      <c r="F75" s="304"/>
      <c r="G75" s="304"/>
      <c r="H75" s="304"/>
    </row>
    <row r="76" spans="1:20" x14ac:dyDescent="0.25">
      <c r="A76" s="302"/>
      <c r="B76" s="303"/>
      <c r="C76" s="304"/>
      <c r="D76" s="304"/>
      <c r="E76" s="304"/>
      <c r="F76" s="304"/>
      <c r="G76" s="304"/>
      <c r="H76" s="304"/>
    </row>
    <row r="77" spans="1:20" x14ac:dyDescent="0.25">
      <c r="A77" s="302"/>
      <c r="B77" s="303"/>
      <c r="C77" s="304"/>
      <c r="D77" s="304"/>
      <c r="E77" s="304"/>
      <c r="F77" s="304"/>
      <c r="G77" s="304"/>
      <c r="H77" s="304"/>
    </row>
    <row r="78" spans="1:20" x14ac:dyDescent="0.25">
      <c r="A78" s="302"/>
      <c r="B78" s="303"/>
      <c r="C78" s="304"/>
      <c r="D78" s="304"/>
      <c r="E78" s="304"/>
      <c r="F78" s="304"/>
      <c r="G78" s="304"/>
      <c r="H78" s="304"/>
    </row>
    <row r="79" spans="1:20" x14ac:dyDescent="0.25">
      <c r="A79" s="302"/>
      <c r="B79" s="303"/>
      <c r="C79" s="304"/>
      <c r="D79" s="304"/>
      <c r="E79" s="304"/>
      <c r="F79" s="304"/>
      <c r="G79" s="304"/>
      <c r="H79" s="304"/>
    </row>
    <row r="80" spans="1:20" x14ac:dyDescent="0.25">
      <c r="A80" s="302"/>
      <c r="B80" s="303"/>
      <c r="C80" s="304"/>
      <c r="D80" s="304"/>
      <c r="E80" s="304"/>
      <c r="F80" s="304"/>
      <c r="G80" s="304"/>
      <c r="H80" s="304"/>
    </row>
    <row r="81" spans="1:8" x14ac:dyDescent="0.25">
      <c r="A81" s="302"/>
      <c r="B81" s="303"/>
      <c r="C81" s="304"/>
      <c r="D81" s="304"/>
      <c r="E81" s="304"/>
      <c r="F81" s="304"/>
      <c r="G81" s="304"/>
      <c r="H81" s="304"/>
    </row>
    <row r="82" spans="1:8" x14ac:dyDescent="0.25">
      <c r="A82" s="302"/>
      <c r="B82" s="303"/>
      <c r="C82" s="304"/>
      <c r="D82" s="304"/>
      <c r="E82" s="304"/>
      <c r="F82" s="304"/>
      <c r="G82" s="304"/>
      <c r="H82" s="304"/>
    </row>
    <row r="83" spans="1:8" x14ac:dyDescent="0.25">
      <c r="A83" s="302"/>
      <c r="B83" s="303"/>
      <c r="C83" s="304"/>
      <c r="D83" s="304"/>
      <c r="E83" s="304"/>
      <c r="F83" s="304"/>
      <c r="G83" s="304"/>
      <c r="H83" s="304"/>
    </row>
    <row r="84" spans="1:8" x14ac:dyDescent="0.25">
      <c r="A84" s="302"/>
      <c r="B84" s="303"/>
      <c r="C84" s="304"/>
      <c r="D84" s="304"/>
      <c r="E84" s="304"/>
      <c r="F84" s="304"/>
      <c r="G84" s="304"/>
      <c r="H84" s="304"/>
    </row>
    <row r="85" spans="1:8" x14ac:dyDescent="0.25">
      <c r="A85" s="302"/>
      <c r="B85" s="303"/>
      <c r="C85" s="304"/>
      <c r="D85" s="304"/>
      <c r="E85" s="304"/>
      <c r="F85" s="304"/>
      <c r="G85" s="304"/>
      <c r="H85" s="304"/>
    </row>
    <row r="86" spans="1:8" x14ac:dyDescent="0.25">
      <c r="A86" s="302"/>
      <c r="B86" s="303"/>
      <c r="C86" s="304"/>
      <c r="D86" s="304"/>
      <c r="E86" s="304"/>
      <c r="F86" s="304"/>
      <c r="G86" s="304"/>
      <c r="H86" s="304"/>
    </row>
    <row r="87" spans="1:8" x14ac:dyDescent="0.25">
      <c r="A87" s="302"/>
      <c r="B87" s="303"/>
      <c r="C87" s="304"/>
      <c r="D87" s="304"/>
      <c r="E87" s="304"/>
      <c r="F87" s="304"/>
      <c r="G87" s="304"/>
      <c r="H87" s="304"/>
    </row>
    <row r="88" spans="1:8" x14ac:dyDescent="0.25">
      <c r="A88" s="302"/>
      <c r="B88" s="303"/>
      <c r="C88" s="304"/>
      <c r="D88" s="304"/>
      <c r="E88" s="304"/>
      <c r="F88" s="304"/>
      <c r="G88" s="304"/>
      <c r="H88" s="304"/>
    </row>
    <row r="89" spans="1:8" x14ac:dyDescent="0.25">
      <c r="A89" s="302"/>
      <c r="B89" s="303"/>
      <c r="C89" s="304"/>
      <c r="D89" s="304"/>
      <c r="E89" s="304"/>
      <c r="F89" s="304"/>
      <c r="G89" s="304"/>
      <c r="H89" s="304"/>
    </row>
    <row r="90" spans="1:8" x14ac:dyDescent="0.25">
      <c r="A90" s="302"/>
      <c r="B90" s="303"/>
      <c r="C90" s="304"/>
      <c r="D90" s="304"/>
      <c r="E90" s="304"/>
      <c r="F90" s="304"/>
      <c r="G90" s="304"/>
      <c r="H90" s="304"/>
    </row>
    <row r="91" spans="1:8" x14ac:dyDescent="0.25">
      <c r="A91" s="302"/>
      <c r="B91" s="303"/>
      <c r="C91" s="304"/>
      <c r="D91" s="304"/>
      <c r="E91" s="304"/>
      <c r="F91" s="304"/>
      <c r="G91" s="304"/>
      <c r="H91" s="304"/>
    </row>
    <row r="92" spans="1:8" x14ac:dyDescent="0.25">
      <c r="A92" s="302"/>
      <c r="B92" s="303"/>
      <c r="C92" s="304"/>
      <c r="D92" s="304"/>
      <c r="E92" s="304"/>
      <c r="F92" s="304"/>
      <c r="G92" s="304"/>
      <c r="H92" s="304"/>
    </row>
    <row r="93" spans="1:8" x14ac:dyDescent="0.25">
      <c r="A93" s="302"/>
      <c r="B93" s="303"/>
      <c r="C93" s="304"/>
      <c r="D93" s="304"/>
      <c r="E93" s="304"/>
      <c r="F93" s="304"/>
      <c r="G93" s="304"/>
      <c r="H93" s="304"/>
    </row>
    <row r="94" spans="1:8" x14ac:dyDescent="0.25">
      <c r="A94" s="302"/>
      <c r="B94" s="303"/>
      <c r="C94" s="304"/>
      <c r="D94" s="304"/>
      <c r="E94" s="304"/>
      <c r="F94" s="304"/>
      <c r="G94" s="304"/>
      <c r="H94" s="304"/>
    </row>
    <row r="95" spans="1:8" x14ac:dyDescent="0.25">
      <c r="A95" s="302"/>
      <c r="B95" s="303"/>
      <c r="C95" s="304"/>
      <c r="D95" s="304"/>
      <c r="E95" s="304"/>
      <c r="F95" s="304"/>
      <c r="G95" s="304"/>
      <c r="H95" s="304"/>
    </row>
    <row r="96" spans="1:8" x14ac:dyDescent="0.25">
      <c r="A96" s="302"/>
      <c r="B96" s="303"/>
      <c r="C96" s="304"/>
      <c r="D96" s="304"/>
      <c r="E96" s="304"/>
      <c r="F96" s="304"/>
      <c r="G96" s="304"/>
      <c r="H96" s="304"/>
    </row>
    <row r="97" spans="1:8" x14ac:dyDescent="0.25">
      <c r="A97" s="302"/>
      <c r="B97" s="303"/>
      <c r="C97" s="304"/>
      <c r="D97" s="304"/>
      <c r="E97" s="304"/>
      <c r="F97" s="304"/>
      <c r="G97" s="304"/>
      <c r="H97" s="304"/>
    </row>
    <row r="98" spans="1:8" x14ac:dyDescent="0.25">
      <c r="A98" s="302"/>
      <c r="B98" s="303"/>
      <c r="C98" s="304"/>
      <c r="D98" s="304"/>
      <c r="E98" s="304"/>
      <c r="F98" s="304"/>
      <c r="G98" s="304"/>
      <c r="H98" s="304"/>
    </row>
    <row r="99" spans="1:8" x14ac:dyDescent="0.25">
      <c r="A99" s="302"/>
      <c r="B99" s="303"/>
      <c r="C99" s="304"/>
      <c r="D99" s="304"/>
      <c r="E99" s="304"/>
      <c r="F99" s="304"/>
      <c r="G99" s="304"/>
      <c r="H99" s="304"/>
    </row>
    <row r="100" spans="1:8" x14ac:dyDescent="0.25">
      <c r="A100" s="302"/>
      <c r="B100" s="303"/>
      <c r="C100" s="304"/>
      <c r="D100" s="304"/>
      <c r="E100" s="304"/>
      <c r="F100" s="304"/>
      <c r="G100" s="304"/>
      <c r="H100" s="304"/>
    </row>
    <row r="101" spans="1:8" x14ac:dyDescent="0.25">
      <c r="A101" s="302"/>
      <c r="B101" s="303"/>
      <c r="C101" s="304"/>
      <c r="D101" s="304"/>
      <c r="E101" s="304"/>
      <c r="F101" s="304"/>
      <c r="G101" s="304"/>
      <c r="H101" s="304"/>
    </row>
    <row r="102" spans="1:8" x14ac:dyDescent="0.25">
      <c r="A102" s="302"/>
      <c r="B102" s="303"/>
      <c r="C102" s="304"/>
      <c r="D102" s="304"/>
      <c r="E102" s="304"/>
      <c r="F102" s="304"/>
      <c r="G102" s="304"/>
      <c r="H102" s="304"/>
    </row>
  </sheetData>
  <mergeCells count="44">
    <mergeCell ref="A62:B62"/>
    <mergeCell ref="A63:B63"/>
    <mergeCell ref="A64:B64"/>
    <mergeCell ref="A65:C65"/>
    <mergeCell ref="A57:A59"/>
    <mergeCell ref="B57:B59"/>
    <mergeCell ref="C57:C59"/>
    <mergeCell ref="T57:T59"/>
    <mergeCell ref="A60:B60"/>
    <mergeCell ref="A61:B61"/>
    <mergeCell ref="C42:C51"/>
    <mergeCell ref="A52:B52"/>
    <mergeCell ref="A53:T53"/>
    <mergeCell ref="A54:A56"/>
    <mergeCell ref="B54:B56"/>
    <mergeCell ref="C54:C56"/>
    <mergeCell ref="D54:D56"/>
    <mergeCell ref="E54:E56"/>
    <mergeCell ref="T54:T56"/>
    <mergeCell ref="A20:A28"/>
    <mergeCell ref="B20:B28"/>
    <mergeCell ref="C20:C28"/>
    <mergeCell ref="T20:T28"/>
    <mergeCell ref="A29:A41"/>
    <mergeCell ref="B29:B41"/>
    <mergeCell ref="C29:C41"/>
    <mergeCell ref="T29:T52"/>
    <mergeCell ref="A42:A51"/>
    <mergeCell ref="B42:B51"/>
    <mergeCell ref="A5:T5"/>
    <mergeCell ref="A6:T6"/>
    <mergeCell ref="A7:A18"/>
    <mergeCell ref="B7:B18"/>
    <mergeCell ref="C7:C18"/>
    <mergeCell ref="T7:T18"/>
    <mergeCell ref="I1:J1"/>
    <mergeCell ref="S1:T1"/>
    <mergeCell ref="A2:T2"/>
    <mergeCell ref="A3:A4"/>
    <mergeCell ref="B3:B4"/>
    <mergeCell ref="C3:C4"/>
    <mergeCell ref="D3:G3"/>
    <mergeCell ref="H3:S3"/>
    <mergeCell ref="T3:T4"/>
  </mergeCells>
  <pageMargins left="0.31496062992125984" right="0.31496062992125984" top="0.15748031496062992" bottom="0.15748031496062992" header="0" footer="0"/>
  <pageSetup paperSize="9" scale="5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Q17"/>
  <sheetViews>
    <sheetView view="pageBreakPreview" zoomScale="79" zoomScaleNormal="100" zoomScaleSheetLayoutView="79" workbookViewId="0">
      <selection activeCell="J9" sqref="J9"/>
    </sheetView>
  </sheetViews>
  <sheetFormatPr defaultRowHeight="15.75" x14ac:dyDescent="0.25"/>
  <cols>
    <col min="1" max="1" width="5.140625" style="45" customWidth="1"/>
    <col min="2" max="2" width="57.42578125" style="1" customWidth="1"/>
    <col min="3" max="3" width="11.7109375" style="1" customWidth="1"/>
    <col min="4" max="4" width="10.42578125" style="1" hidden="1" customWidth="1"/>
    <col min="5" max="7" width="10.5703125" style="1" hidden="1" customWidth="1"/>
    <col min="8" max="15" width="10.5703125" style="1" customWidth="1"/>
    <col min="16" max="16" width="10.42578125" style="1" customWidth="1"/>
    <col min="17" max="17" width="11.140625" style="1" customWidth="1"/>
    <col min="18" max="16384" width="9.140625" style="1"/>
  </cols>
  <sheetData>
    <row r="1" spans="1:17" ht="78" customHeight="1" x14ac:dyDescent="0.25">
      <c r="K1" s="189"/>
      <c r="L1" s="189"/>
      <c r="M1" s="190" t="s">
        <v>244</v>
      </c>
      <c r="N1" s="190"/>
      <c r="O1" s="190"/>
      <c r="P1" s="190"/>
      <c r="Q1" s="190"/>
    </row>
    <row r="2" spans="1:17" ht="34.5" customHeight="1" x14ac:dyDescent="0.25">
      <c r="A2" s="191" t="s">
        <v>245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</row>
    <row r="3" spans="1:17" ht="17.25" customHeight="1" x14ac:dyDescent="0.25">
      <c r="A3" s="7" t="s">
        <v>97</v>
      </c>
      <c r="B3" s="7" t="s">
        <v>246</v>
      </c>
      <c r="C3" s="7" t="s">
        <v>99</v>
      </c>
      <c r="D3" s="50" t="s">
        <v>247</v>
      </c>
      <c r="E3" s="50" t="s">
        <v>102</v>
      </c>
      <c r="F3" s="50" t="s">
        <v>248</v>
      </c>
      <c r="G3" s="40" t="s">
        <v>249</v>
      </c>
      <c r="H3" s="13" t="s">
        <v>41</v>
      </c>
      <c r="I3" s="192" t="s">
        <v>250</v>
      </c>
      <c r="J3" s="193"/>
      <c r="K3" s="192" t="s">
        <v>251</v>
      </c>
      <c r="L3" s="194"/>
      <c r="M3" s="194"/>
      <c r="N3" s="194"/>
      <c r="O3" s="194"/>
      <c r="P3" s="194"/>
      <c r="Q3" s="193"/>
    </row>
    <row r="4" spans="1:17" ht="33" customHeight="1" x14ac:dyDescent="0.25">
      <c r="A4" s="7"/>
      <c r="B4" s="7"/>
      <c r="C4" s="7"/>
      <c r="D4" s="50"/>
      <c r="E4" s="50"/>
      <c r="F4" s="50"/>
      <c r="G4" s="75"/>
      <c r="H4" s="31"/>
      <c r="I4" s="11" t="s">
        <v>42</v>
      </c>
      <c r="J4" s="11" t="s">
        <v>43</v>
      </c>
      <c r="K4" s="11" t="s">
        <v>44</v>
      </c>
      <c r="L4" s="11" t="s">
        <v>45</v>
      </c>
      <c r="M4" s="11" t="s">
        <v>46</v>
      </c>
      <c r="N4" s="11" t="s">
        <v>47</v>
      </c>
      <c r="O4" s="11" t="s">
        <v>48</v>
      </c>
      <c r="P4" s="11" t="s">
        <v>49</v>
      </c>
      <c r="Q4" s="16" t="s">
        <v>50</v>
      </c>
    </row>
    <row r="5" spans="1:17" ht="55.15" customHeight="1" x14ac:dyDescent="0.25">
      <c r="A5" s="195" t="s">
        <v>103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7"/>
    </row>
    <row r="6" spans="1:17" ht="56.25" customHeight="1" x14ac:dyDescent="0.25">
      <c r="A6" s="11">
        <v>1</v>
      </c>
      <c r="B6" s="122" t="s">
        <v>104</v>
      </c>
      <c r="C6" s="34" t="s">
        <v>105</v>
      </c>
      <c r="D6" s="198">
        <v>54.1</v>
      </c>
      <c r="E6" s="131">
        <v>2.34</v>
      </c>
      <c r="F6" s="126">
        <v>94</v>
      </c>
      <c r="G6" s="126">
        <v>94.5</v>
      </c>
      <c r="H6" s="126">
        <v>95</v>
      </c>
      <c r="I6" s="126">
        <v>95</v>
      </c>
      <c r="J6" s="126">
        <v>96</v>
      </c>
      <c r="K6" s="126">
        <v>96.2</v>
      </c>
      <c r="L6" s="126">
        <v>96.3</v>
      </c>
      <c r="M6" s="126">
        <v>96.4</v>
      </c>
      <c r="N6" s="126">
        <v>96.4</v>
      </c>
      <c r="O6" s="126">
        <v>96.5</v>
      </c>
      <c r="P6" s="126">
        <v>96.5</v>
      </c>
      <c r="Q6" s="126">
        <v>96.6</v>
      </c>
    </row>
    <row r="7" spans="1:17" ht="108" customHeight="1" x14ac:dyDescent="0.25">
      <c r="A7" s="12">
        <v>2</v>
      </c>
      <c r="B7" s="122" t="s">
        <v>109</v>
      </c>
      <c r="C7" s="34" t="s">
        <v>105</v>
      </c>
      <c r="D7" s="123" t="e">
        <f>#REF!</f>
        <v>#REF!</v>
      </c>
      <c r="E7" s="131">
        <v>60.5</v>
      </c>
      <c r="F7" s="36">
        <v>82.4</v>
      </c>
      <c r="G7" s="36">
        <v>86.6</v>
      </c>
      <c r="H7" s="36">
        <v>91.3</v>
      </c>
      <c r="I7" s="36">
        <v>100</v>
      </c>
      <c r="J7" s="36">
        <v>100</v>
      </c>
      <c r="K7" s="36">
        <v>100</v>
      </c>
      <c r="L7" s="36">
        <v>100</v>
      </c>
      <c r="M7" s="36">
        <v>100</v>
      </c>
      <c r="N7" s="36">
        <v>100</v>
      </c>
      <c r="O7" s="36">
        <v>100</v>
      </c>
      <c r="P7" s="36">
        <v>100</v>
      </c>
      <c r="Q7" s="36">
        <v>100</v>
      </c>
    </row>
    <row r="8" spans="1:17" ht="89.25" customHeight="1" x14ac:dyDescent="0.25">
      <c r="A8" s="11">
        <v>3</v>
      </c>
      <c r="B8" s="129" t="s">
        <v>112</v>
      </c>
      <c r="C8" s="123" t="s">
        <v>105</v>
      </c>
      <c r="D8" s="199">
        <v>95.6</v>
      </c>
      <c r="E8" s="200">
        <v>96.7</v>
      </c>
      <c r="F8" s="130">
        <v>98.53</v>
      </c>
      <c r="G8" s="130">
        <v>98.04</v>
      </c>
      <c r="H8" s="130">
        <v>98.53</v>
      </c>
      <c r="I8" s="130">
        <v>98.6</v>
      </c>
      <c r="J8" s="130">
        <v>98.6</v>
      </c>
      <c r="K8" s="130">
        <v>100</v>
      </c>
      <c r="L8" s="130">
        <v>100</v>
      </c>
      <c r="M8" s="130">
        <v>100</v>
      </c>
      <c r="N8" s="130">
        <v>100</v>
      </c>
      <c r="O8" s="130">
        <v>100</v>
      </c>
      <c r="P8" s="130">
        <v>100</v>
      </c>
      <c r="Q8" s="130">
        <v>100</v>
      </c>
    </row>
    <row r="9" spans="1:17" ht="85.5" customHeight="1" x14ac:dyDescent="0.25">
      <c r="A9" s="11">
        <v>4</v>
      </c>
      <c r="B9" s="122" t="s">
        <v>114</v>
      </c>
      <c r="C9" s="34" t="s">
        <v>252</v>
      </c>
      <c r="D9" s="199"/>
      <c r="E9" s="200"/>
      <c r="F9" s="132">
        <v>67</v>
      </c>
      <c r="G9" s="132">
        <v>67</v>
      </c>
      <c r="H9" s="132">
        <v>67</v>
      </c>
      <c r="I9" s="132">
        <v>83</v>
      </c>
      <c r="J9" s="132">
        <v>83</v>
      </c>
      <c r="K9" s="132">
        <v>83</v>
      </c>
      <c r="L9" s="132">
        <v>83</v>
      </c>
      <c r="M9" s="132">
        <v>83</v>
      </c>
      <c r="N9" s="132">
        <v>100</v>
      </c>
      <c r="O9" s="132">
        <v>100</v>
      </c>
      <c r="P9" s="132">
        <v>100</v>
      </c>
      <c r="Q9" s="132">
        <v>100</v>
      </c>
    </row>
    <row r="10" spans="1:17" ht="35.25" customHeight="1" x14ac:dyDescent="0.25">
      <c r="A10" s="201" t="s">
        <v>33</v>
      </c>
      <c r="B10" s="201"/>
      <c r="C10" s="201"/>
      <c r="D10" s="201"/>
      <c r="E10" s="201"/>
      <c r="F10" s="202"/>
      <c r="G10" s="80"/>
      <c r="H10" s="80"/>
      <c r="I10" s="80"/>
      <c r="J10" s="80"/>
      <c r="K10" s="80"/>
      <c r="L10" s="80"/>
      <c r="M10" s="203" t="s">
        <v>243</v>
      </c>
      <c r="N10" s="203"/>
      <c r="O10" s="203"/>
      <c r="P10" s="203"/>
      <c r="Q10" s="204"/>
    </row>
    <row r="15" spans="1:17" x14ac:dyDescent="0.25">
      <c r="D15" s="205"/>
      <c r="E15" s="205"/>
      <c r="F15" s="206"/>
      <c r="G15" s="205"/>
    </row>
    <row r="16" spans="1:17" x14ac:dyDescent="0.25">
      <c r="D16" s="207"/>
      <c r="E16" s="208"/>
      <c r="F16" s="209"/>
      <c r="G16" s="208"/>
    </row>
    <row r="17" spans="4:7" x14ac:dyDescent="0.25">
      <c r="D17" s="210"/>
      <c r="E17" s="210"/>
      <c r="F17" s="211"/>
      <c r="G17" s="210"/>
    </row>
  </sheetData>
  <mergeCells count="15">
    <mergeCell ref="I3:J3"/>
    <mergeCell ref="K3:Q3"/>
    <mergeCell ref="A5:Q5"/>
    <mergeCell ref="A10:E10"/>
    <mergeCell ref="M10:Q10"/>
    <mergeCell ref="M1:Q1"/>
    <mergeCell ref="A2:Q2"/>
    <mergeCell ref="A3:A4"/>
    <mergeCell ref="B3:B4"/>
    <mergeCell ref="C3:C4"/>
    <mergeCell ref="D3:D4"/>
    <mergeCell ref="E3:E4"/>
    <mergeCell ref="F3:F4"/>
    <mergeCell ref="G3:G4"/>
    <mergeCell ref="H3:H4"/>
  </mergeCells>
  <pageMargins left="0.55118110236220474" right="0.35433070866141736" top="0.55118110236220474" bottom="0.19685039370078741" header="0.51181102362204722" footer="0.51181102362204722"/>
  <pageSetup paperSize="9" scale="77" fitToHeight="3" orientation="landscape" useFirstPageNumber="1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="70" zoomScaleNormal="70" workbookViewId="0">
      <selection activeCell="H15" sqref="H15"/>
    </sheetView>
  </sheetViews>
  <sheetFormatPr defaultColWidth="9.28515625" defaultRowHeight="15.75" x14ac:dyDescent="0.25"/>
  <cols>
    <col min="1" max="1" width="18.5703125" style="1" customWidth="1"/>
    <col min="2" max="2" width="22.28515625" style="1" customWidth="1"/>
    <col min="3" max="3" width="25.28515625" style="1" customWidth="1"/>
    <col min="4" max="7" width="9.28515625" style="1"/>
    <col min="8" max="8" width="15.140625" style="1" customWidth="1"/>
    <col min="9" max="10" width="15.42578125" style="1" customWidth="1"/>
    <col min="11" max="11" width="15.42578125" style="53" customWidth="1"/>
    <col min="12" max="18" width="15.42578125" style="1" customWidth="1"/>
    <col min="19" max="19" width="17" style="1" customWidth="1"/>
    <col min="20" max="20" width="15.28515625" style="1" bestFit="1" customWidth="1"/>
    <col min="21" max="16384" width="9.28515625" style="1"/>
  </cols>
  <sheetData>
    <row r="1" spans="1:20" ht="58.5" customHeight="1" x14ac:dyDescent="0.25">
      <c r="J1" s="2"/>
      <c r="K1" s="3"/>
      <c r="L1" s="4"/>
      <c r="M1" s="5" t="s">
        <v>0</v>
      </c>
      <c r="N1" s="5"/>
      <c r="O1" s="5"/>
      <c r="P1" s="5"/>
      <c r="Q1" s="5"/>
      <c r="R1" s="5"/>
      <c r="S1" s="5"/>
    </row>
    <row r="2" spans="1:20" ht="30" customHeight="1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20" ht="18.75" customHeight="1" x14ac:dyDescent="0.25">
      <c r="A3" s="7" t="s">
        <v>2</v>
      </c>
      <c r="B3" s="7" t="s">
        <v>3</v>
      </c>
      <c r="C3" s="7" t="s">
        <v>4</v>
      </c>
      <c r="D3" s="7" t="s">
        <v>5</v>
      </c>
      <c r="E3" s="7"/>
      <c r="F3" s="7"/>
      <c r="G3" s="7"/>
      <c r="H3" s="8" t="s">
        <v>6</v>
      </c>
      <c r="I3" s="9"/>
      <c r="J3" s="9"/>
      <c r="K3" s="9"/>
      <c r="L3" s="9"/>
      <c r="M3" s="9"/>
      <c r="N3" s="9"/>
      <c r="O3" s="9"/>
      <c r="P3" s="9"/>
      <c r="Q3" s="9"/>
      <c r="R3" s="9"/>
      <c r="S3" s="10"/>
    </row>
    <row r="4" spans="1:20" ht="49.5" customHeight="1" x14ac:dyDescent="0.25">
      <c r="A4" s="7"/>
      <c r="B4" s="7"/>
      <c r="C4" s="7"/>
      <c r="D4" s="11" t="s">
        <v>7</v>
      </c>
      <c r="E4" s="11" t="s">
        <v>8</v>
      </c>
      <c r="F4" s="11" t="s">
        <v>9</v>
      </c>
      <c r="G4" s="11" t="s">
        <v>10</v>
      </c>
      <c r="H4" s="11">
        <v>2014</v>
      </c>
      <c r="I4" s="11">
        <v>2015</v>
      </c>
      <c r="J4" s="11">
        <v>2016</v>
      </c>
      <c r="K4" s="12">
        <v>2017</v>
      </c>
      <c r="L4" s="11">
        <v>2018</v>
      </c>
      <c r="M4" s="12">
        <v>2019</v>
      </c>
      <c r="N4" s="12">
        <v>2020</v>
      </c>
      <c r="O4" s="12">
        <v>2021</v>
      </c>
      <c r="P4" s="12">
        <v>2022</v>
      </c>
      <c r="Q4" s="12">
        <v>2023</v>
      </c>
      <c r="R4" s="12">
        <v>2024</v>
      </c>
      <c r="S4" s="11" t="s">
        <v>11</v>
      </c>
    </row>
    <row r="5" spans="1:20" ht="48" customHeight="1" x14ac:dyDescent="0.25">
      <c r="A5" s="13" t="s">
        <v>12</v>
      </c>
      <c r="B5" s="14" t="s">
        <v>13</v>
      </c>
      <c r="C5" s="15" t="s">
        <v>14</v>
      </c>
      <c r="D5" s="16" t="s">
        <v>15</v>
      </c>
      <c r="E5" s="16" t="s">
        <v>15</v>
      </c>
      <c r="F5" s="16" t="s">
        <v>15</v>
      </c>
      <c r="G5" s="16" t="s">
        <v>15</v>
      </c>
      <c r="H5" s="17">
        <f t="shared" ref="H5:O5" si="0">H7+H8+H9+H10</f>
        <v>447829.6</v>
      </c>
      <c r="I5" s="17">
        <f t="shared" si="0"/>
        <v>473625.60000000003</v>
      </c>
      <c r="J5" s="18">
        <f t="shared" si="0"/>
        <v>511729.7</v>
      </c>
      <c r="K5" s="18">
        <f t="shared" si="0"/>
        <v>523227.99999999994</v>
      </c>
      <c r="L5" s="18">
        <f t="shared" si="0"/>
        <v>549349</v>
      </c>
      <c r="M5" s="17">
        <f t="shared" si="0"/>
        <v>614389.60000000009</v>
      </c>
      <c r="N5" s="17">
        <f t="shared" si="0"/>
        <v>635052.30000000005</v>
      </c>
      <c r="O5" s="17">
        <f t="shared" si="0"/>
        <v>730302.4</v>
      </c>
      <c r="P5" s="17">
        <f>P11+P15+P19+P22</f>
        <v>823860.20000000007</v>
      </c>
      <c r="Q5" s="17">
        <f>Q7+Q8+Q9+Q10</f>
        <v>742023</v>
      </c>
      <c r="R5" s="17">
        <f>R7+R8+R9+R10</f>
        <v>712079.8</v>
      </c>
      <c r="S5" s="17">
        <f>SUM(H5:R5)</f>
        <v>6763469.2000000002</v>
      </c>
    </row>
    <row r="6" spans="1:20" x14ac:dyDescent="0.25">
      <c r="A6" s="19"/>
      <c r="B6" s="20"/>
      <c r="C6" s="15" t="s">
        <v>16</v>
      </c>
      <c r="D6" s="21"/>
      <c r="E6" s="21"/>
      <c r="F6" s="21"/>
      <c r="G6" s="21"/>
      <c r="H6" s="21"/>
      <c r="I6" s="22"/>
      <c r="J6" s="22"/>
      <c r="K6" s="23"/>
      <c r="L6" s="23"/>
      <c r="M6" s="22"/>
      <c r="N6" s="22"/>
      <c r="O6" s="22"/>
      <c r="P6" s="17">
        <f>O6</f>
        <v>0</v>
      </c>
      <c r="Q6" s="17"/>
      <c r="R6" s="17">
        <f t="shared" ref="R6:R23" si="1">Q6</f>
        <v>0</v>
      </c>
      <c r="S6" s="17">
        <f t="shared" ref="S6:S26" si="2">SUM(H6:R6)</f>
        <v>0</v>
      </c>
    </row>
    <row r="7" spans="1:20" ht="51.75" customHeight="1" x14ac:dyDescent="0.25">
      <c r="A7" s="19"/>
      <c r="B7" s="20"/>
      <c r="C7" s="15" t="s">
        <v>17</v>
      </c>
      <c r="D7" s="24" t="s">
        <v>18</v>
      </c>
      <c r="E7" s="16" t="s">
        <v>15</v>
      </c>
      <c r="F7" s="16" t="s">
        <v>15</v>
      </c>
      <c r="G7" s="16" t="s">
        <v>15</v>
      </c>
      <c r="H7" s="25">
        <f t="shared" ref="H7:R7" si="3">H13+H18+H21+H24</f>
        <v>426153.3</v>
      </c>
      <c r="I7" s="25">
        <f t="shared" si="3"/>
        <v>451251.20000000001</v>
      </c>
      <c r="J7" s="25">
        <f t="shared" si="3"/>
        <v>486929.2</v>
      </c>
      <c r="K7" s="26">
        <f t="shared" si="3"/>
        <v>498675.49999999994</v>
      </c>
      <c r="L7" s="26">
        <f t="shared" si="3"/>
        <v>523112</v>
      </c>
      <c r="M7" s="25">
        <f t="shared" si="3"/>
        <v>587737.9</v>
      </c>
      <c r="N7" s="25">
        <f>N13+N18+N21+N24</f>
        <v>601251.90000000014</v>
      </c>
      <c r="O7" s="25">
        <f t="shared" si="3"/>
        <v>702683.6</v>
      </c>
      <c r="P7" s="25">
        <f>P13+P18+P21+P2</f>
        <v>737438.00000000012</v>
      </c>
      <c r="Q7" s="25">
        <f t="shared" si="3"/>
        <v>703672.3</v>
      </c>
      <c r="R7" s="25">
        <f t="shared" si="3"/>
        <v>679732.60000000009</v>
      </c>
      <c r="S7" s="17">
        <f t="shared" si="2"/>
        <v>6398637.5</v>
      </c>
      <c r="T7" s="27"/>
    </row>
    <row r="8" spans="1:20" ht="49.5" hidden="1" customHeight="1" x14ac:dyDescent="0.25">
      <c r="A8" s="19"/>
      <c r="B8" s="20"/>
      <c r="C8" s="28" t="s">
        <v>19</v>
      </c>
      <c r="D8" s="29" t="s">
        <v>20</v>
      </c>
      <c r="E8" s="16" t="s">
        <v>15</v>
      </c>
      <c r="F8" s="16" t="s">
        <v>15</v>
      </c>
      <c r="G8" s="16" t="s">
        <v>15</v>
      </c>
      <c r="H8" s="25"/>
      <c r="I8" s="25"/>
      <c r="J8" s="25"/>
      <c r="K8" s="26"/>
      <c r="L8" s="26"/>
      <c r="M8" s="25">
        <f>M17</f>
        <v>0</v>
      </c>
      <c r="N8" s="25"/>
      <c r="O8" s="25"/>
      <c r="P8" s="17">
        <f>O8</f>
        <v>0</v>
      </c>
      <c r="Q8" s="17"/>
      <c r="R8" s="17">
        <f t="shared" si="1"/>
        <v>0</v>
      </c>
      <c r="S8" s="17">
        <f t="shared" si="2"/>
        <v>0</v>
      </c>
      <c r="T8" s="27"/>
    </row>
    <row r="9" spans="1:20" ht="39.950000000000003" customHeight="1" x14ac:dyDescent="0.25">
      <c r="A9" s="19"/>
      <c r="B9" s="20"/>
      <c r="C9" s="30" t="s">
        <v>21</v>
      </c>
      <c r="D9" s="24" t="s">
        <v>22</v>
      </c>
      <c r="E9" s="16" t="s">
        <v>15</v>
      </c>
      <c r="F9" s="16" t="s">
        <v>15</v>
      </c>
      <c r="G9" s="16" t="s">
        <v>15</v>
      </c>
      <c r="H9" s="25">
        <f t="shared" ref="H9:N9" si="4">H26</f>
        <v>14153.1</v>
      </c>
      <c r="I9" s="25">
        <f t="shared" si="4"/>
        <v>14936.4</v>
      </c>
      <c r="J9" s="25">
        <f t="shared" si="4"/>
        <v>15316.7</v>
      </c>
      <c r="K9" s="26">
        <f t="shared" si="4"/>
        <v>15372.5</v>
      </c>
      <c r="L9" s="26">
        <f t="shared" si="4"/>
        <v>15995.1</v>
      </c>
      <c r="M9" s="25">
        <f t="shared" si="4"/>
        <v>16743.8</v>
      </c>
      <c r="N9" s="25">
        <f t="shared" si="4"/>
        <v>18520.7</v>
      </c>
      <c r="O9" s="25">
        <f>O26</f>
        <v>22041.3</v>
      </c>
      <c r="P9" s="25">
        <f>P26</f>
        <v>23638.799999999999</v>
      </c>
      <c r="Q9" s="25">
        <f>Q26</f>
        <v>20340</v>
      </c>
      <c r="R9" s="25">
        <f>R26</f>
        <v>20340</v>
      </c>
      <c r="S9" s="17">
        <f t="shared" si="2"/>
        <v>197398.39999999999</v>
      </c>
      <c r="T9" s="27"/>
    </row>
    <row r="10" spans="1:20" ht="39.950000000000003" customHeight="1" x14ac:dyDescent="0.25">
      <c r="A10" s="31"/>
      <c r="B10" s="32"/>
      <c r="C10" s="30" t="s">
        <v>19</v>
      </c>
      <c r="D10" s="24" t="s">
        <v>20</v>
      </c>
      <c r="E10" s="16" t="s">
        <v>15</v>
      </c>
      <c r="F10" s="16" t="s">
        <v>15</v>
      </c>
      <c r="G10" s="16" t="s">
        <v>15</v>
      </c>
      <c r="H10" s="25">
        <f t="shared" ref="H10:N10" si="5">H25</f>
        <v>7523.2</v>
      </c>
      <c r="I10" s="25">
        <f t="shared" si="5"/>
        <v>7438</v>
      </c>
      <c r="J10" s="25">
        <f t="shared" si="5"/>
        <v>9483.7999999999993</v>
      </c>
      <c r="K10" s="26">
        <f t="shared" si="5"/>
        <v>9180</v>
      </c>
      <c r="L10" s="26">
        <f t="shared" si="5"/>
        <v>10241.9</v>
      </c>
      <c r="M10" s="25">
        <f t="shared" si="5"/>
        <v>9907.9</v>
      </c>
      <c r="N10" s="25">
        <f t="shared" si="5"/>
        <v>15279.7</v>
      </c>
      <c r="O10" s="25">
        <f>O25</f>
        <v>5577.5</v>
      </c>
      <c r="P10" s="25">
        <f>P25</f>
        <v>27092.400000000001</v>
      </c>
      <c r="Q10" s="25">
        <f>Q25</f>
        <v>18010.7</v>
      </c>
      <c r="R10" s="25">
        <f>R25</f>
        <v>12007.2</v>
      </c>
      <c r="S10" s="17">
        <f t="shared" si="2"/>
        <v>131742.29999999999</v>
      </c>
      <c r="T10" s="27"/>
    </row>
    <row r="11" spans="1:20" ht="46.5" customHeight="1" x14ac:dyDescent="0.25">
      <c r="A11" s="33" t="s">
        <v>23</v>
      </c>
      <c r="B11" s="33" t="s">
        <v>24</v>
      </c>
      <c r="C11" s="30" t="s">
        <v>14</v>
      </c>
      <c r="D11" s="34" t="s">
        <v>15</v>
      </c>
      <c r="E11" s="35" t="s">
        <v>15</v>
      </c>
      <c r="F11" s="34" t="s">
        <v>15</v>
      </c>
      <c r="G11" s="36" t="s">
        <v>15</v>
      </c>
      <c r="H11" s="25">
        <f t="shared" ref="H11:P11" si="6">H13+H14</f>
        <v>198091.6</v>
      </c>
      <c r="I11" s="25">
        <f t="shared" si="6"/>
        <v>204824.6</v>
      </c>
      <c r="J11" s="25">
        <f t="shared" si="6"/>
        <v>219030.5</v>
      </c>
      <c r="K11" s="26">
        <f t="shared" si="6"/>
        <v>218633.1</v>
      </c>
      <c r="L11" s="26">
        <f t="shared" si="6"/>
        <v>229336.9</v>
      </c>
      <c r="M11" s="25">
        <f t="shared" si="6"/>
        <v>267495.40000000002</v>
      </c>
      <c r="N11" s="25">
        <f>N13+N14</f>
        <v>275550.40000000002</v>
      </c>
      <c r="O11" s="25">
        <f>O13+O14</f>
        <v>310856.8</v>
      </c>
      <c r="P11" s="25">
        <f t="shared" si="6"/>
        <v>341628.2</v>
      </c>
      <c r="Q11" s="17">
        <v>308975.59999999998</v>
      </c>
      <c r="R11" s="17">
        <f>Q11</f>
        <v>308975.59999999998</v>
      </c>
      <c r="S11" s="17">
        <f t="shared" si="2"/>
        <v>2883398.7</v>
      </c>
    </row>
    <row r="12" spans="1:20" x14ac:dyDescent="0.25">
      <c r="A12" s="33"/>
      <c r="B12" s="33"/>
      <c r="C12" s="30" t="s">
        <v>16</v>
      </c>
      <c r="D12" s="37"/>
      <c r="E12" s="38"/>
      <c r="F12" s="37"/>
      <c r="G12" s="39"/>
      <c r="H12" s="39"/>
      <c r="I12" s="25"/>
      <c r="J12" s="25"/>
      <c r="K12" s="26"/>
      <c r="L12" s="26"/>
      <c r="M12" s="25"/>
      <c r="N12" s="25"/>
      <c r="O12" s="25"/>
      <c r="P12" s="17">
        <f>O12</f>
        <v>0</v>
      </c>
      <c r="Q12" s="17"/>
      <c r="R12" s="17">
        <f t="shared" si="1"/>
        <v>0</v>
      </c>
      <c r="S12" s="17">
        <f t="shared" si="2"/>
        <v>0</v>
      </c>
    </row>
    <row r="13" spans="1:20" ht="55.5" customHeight="1" x14ac:dyDescent="0.25">
      <c r="A13" s="33"/>
      <c r="B13" s="33"/>
      <c r="C13" s="15" t="s">
        <v>17</v>
      </c>
      <c r="D13" s="35" t="s">
        <v>18</v>
      </c>
      <c r="E13" s="35" t="s">
        <v>15</v>
      </c>
      <c r="F13" s="34" t="s">
        <v>15</v>
      </c>
      <c r="G13" s="36" t="s">
        <v>15</v>
      </c>
      <c r="H13" s="25">
        <v>198091.6</v>
      </c>
      <c r="I13" s="25">
        <v>204824.6</v>
      </c>
      <c r="J13" s="25">
        <v>219030.5</v>
      </c>
      <c r="K13" s="26">
        <v>218633.1</v>
      </c>
      <c r="L13" s="26">
        <v>229336.9</v>
      </c>
      <c r="M13" s="25">
        <v>267495.40000000002</v>
      </c>
      <c r="N13" s="25">
        <v>275550.40000000002</v>
      </c>
      <c r="O13" s="25">
        <v>310856.8</v>
      </c>
      <c r="P13" s="17">
        <f>'[1]Прил №2 к МП'!$L$11</f>
        <v>341628.2</v>
      </c>
      <c r="Q13" s="17">
        <v>308975.59999999998</v>
      </c>
      <c r="R13" s="17">
        <f t="shared" si="1"/>
        <v>308975.59999999998</v>
      </c>
      <c r="S13" s="17">
        <f t="shared" si="2"/>
        <v>2883398.7</v>
      </c>
    </row>
    <row r="14" spans="1:20" ht="63" x14ac:dyDescent="0.25">
      <c r="A14" s="33"/>
      <c r="B14" s="33"/>
      <c r="C14" s="15" t="s">
        <v>25</v>
      </c>
      <c r="D14" s="35" t="s">
        <v>26</v>
      </c>
      <c r="E14" s="35" t="s">
        <v>15</v>
      </c>
      <c r="F14" s="34" t="s">
        <v>15</v>
      </c>
      <c r="G14" s="36" t="s">
        <v>15</v>
      </c>
      <c r="H14" s="25"/>
      <c r="I14" s="25"/>
      <c r="J14" s="25">
        <v>0</v>
      </c>
      <c r="K14" s="26"/>
      <c r="L14" s="26"/>
      <c r="M14" s="25"/>
      <c r="N14" s="25"/>
      <c r="O14" s="25"/>
      <c r="P14" s="17"/>
      <c r="Q14" s="17"/>
      <c r="R14" s="17">
        <f t="shared" si="1"/>
        <v>0</v>
      </c>
      <c r="S14" s="17">
        <f t="shared" si="2"/>
        <v>0</v>
      </c>
    </row>
    <row r="15" spans="1:20" ht="47.25" x14ac:dyDescent="0.25">
      <c r="A15" s="40" t="s">
        <v>27</v>
      </c>
      <c r="B15" s="41" t="s">
        <v>28</v>
      </c>
      <c r="C15" s="30" t="s">
        <v>14</v>
      </c>
      <c r="D15" s="34" t="s">
        <v>15</v>
      </c>
      <c r="E15" s="35" t="s">
        <v>15</v>
      </c>
      <c r="F15" s="34" t="s">
        <v>15</v>
      </c>
      <c r="G15" s="36" t="s">
        <v>15</v>
      </c>
      <c r="H15" s="25">
        <f t="shared" ref="H15:O15" si="7">H18</f>
        <v>214621.9</v>
      </c>
      <c r="I15" s="25">
        <f t="shared" si="7"/>
        <v>231479.1</v>
      </c>
      <c r="J15" s="25">
        <f t="shared" si="7"/>
        <v>252889.60000000001</v>
      </c>
      <c r="K15" s="26">
        <f t="shared" si="7"/>
        <v>262736.59999999998</v>
      </c>
      <c r="L15" s="26">
        <f t="shared" si="7"/>
        <v>275850</v>
      </c>
      <c r="M15" s="25">
        <f>M17+M18</f>
        <v>294091.2</v>
      </c>
      <c r="N15" s="25">
        <f t="shared" si="7"/>
        <v>299894.2</v>
      </c>
      <c r="O15" s="25">
        <f t="shared" si="7"/>
        <v>353644</v>
      </c>
      <c r="P15" s="17">
        <f>P18</f>
        <v>386998.4</v>
      </c>
      <c r="Q15" s="17">
        <f>Q18</f>
        <v>352741.9</v>
      </c>
      <c r="R15" s="17">
        <f>R18</f>
        <v>328802.2</v>
      </c>
      <c r="S15" s="17">
        <f t="shared" si="2"/>
        <v>3253749.0999999996</v>
      </c>
    </row>
    <row r="16" spans="1:20" x14ac:dyDescent="0.25">
      <c r="A16" s="42"/>
      <c r="B16" s="43"/>
      <c r="C16" s="30" t="s">
        <v>16</v>
      </c>
      <c r="D16" s="37"/>
      <c r="E16" s="38"/>
      <c r="F16" s="37"/>
      <c r="G16" s="39"/>
      <c r="H16" s="25"/>
      <c r="I16" s="25"/>
      <c r="J16" s="25"/>
      <c r="K16" s="26"/>
      <c r="L16" s="26"/>
      <c r="M16" s="25"/>
      <c r="N16" s="25"/>
      <c r="O16" s="25"/>
      <c r="P16" s="17"/>
      <c r="Q16" s="17"/>
      <c r="R16" s="17">
        <f t="shared" si="1"/>
        <v>0</v>
      </c>
      <c r="S16" s="17">
        <f t="shared" si="2"/>
        <v>0</v>
      </c>
    </row>
    <row r="17" spans="1:19" ht="31.5" hidden="1" x14ac:dyDescent="0.25">
      <c r="A17" s="42"/>
      <c r="B17" s="43"/>
      <c r="C17" s="28" t="s">
        <v>19</v>
      </c>
      <c r="D17" s="29" t="s">
        <v>20</v>
      </c>
      <c r="E17" s="16" t="s">
        <v>15</v>
      </c>
      <c r="F17" s="16" t="s">
        <v>15</v>
      </c>
      <c r="G17" s="16" t="s">
        <v>15</v>
      </c>
      <c r="H17" s="25"/>
      <c r="I17" s="25"/>
      <c r="J17" s="25"/>
      <c r="K17" s="26"/>
      <c r="L17" s="26"/>
      <c r="M17" s="25">
        <v>0</v>
      </c>
      <c r="N17" s="25"/>
      <c r="O17" s="25">
        <f>'[2]Прил №2 к МП'!$K$11</f>
        <v>312164</v>
      </c>
      <c r="P17" s="17">
        <f>O17</f>
        <v>312164</v>
      </c>
      <c r="Q17" s="17"/>
      <c r="R17" s="17">
        <f t="shared" si="1"/>
        <v>0</v>
      </c>
      <c r="S17" s="17">
        <f t="shared" si="2"/>
        <v>624328</v>
      </c>
    </row>
    <row r="18" spans="1:19" ht="50.25" customHeight="1" x14ac:dyDescent="0.25">
      <c r="A18" s="42"/>
      <c r="B18" s="44"/>
      <c r="C18" s="15" t="s">
        <v>17</v>
      </c>
      <c r="D18" s="45">
        <v>975</v>
      </c>
      <c r="E18" s="35" t="s">
        <v>15</v>
      </c>
      <c r="F18" s="34" t="s">
        <v>15</v>
      </c>
      <c r="G18" s="36" t="s">
        <v>15</v>
      </c>
      <c r="H18" s="46">
        <v>214621.9</v>
      </c>
      <c r="I18" s="25">
        <v>231479.1</v>
      </c>
      <c r="J18" s="25">
        <v>252889.60000000001</v>
      </c>
      <c r="K18" s="26">
        <v>262736.59999999998</v>
      </c>
      <c r="L18" s="26">
        <v>275850</v>
      </c>
      <c r="M18" s="25">
        <v>294091.2</v>
      </c>
      <c r="N18" s="25">
        <v>299894.2</v>
      </c>
      <c r="O18" s="25">
        <v>353644</v>
      </c>
      <c r="P18" s="17">
        <f>'[1]Прил №2 к МП'!$L$16</f>
        <v>386998.4</v>
      </c>
      <c r="Q18" s="17">
        <f>'[1]Прил №2 к МП'!$M$16</f>
        <v>352741.9</v>
      </c>
      <c r="R18" s="17">
        <f>'[1]Прил №2 к МП'!$N$16</f>
        <v>328802.2</v>
      </c>
      <c r="S18" s="17">
        <f t="shared" si="2"/>
        <v>3253749.0999999996</v>
      </c>
    </row>
    <row r="19" spans="1:19" ht="47.25" customHeight="1" x14ac:dyDescent="0.25">
      <c r="A19" s="40" t="s">
        <v>29</v>
      </c>
      <c r="B19" s="41" t="s">
        <v>30</v>
      </c>
      <c r="C19" s="30" t="s">
        <v>14</v>
      </c>
      <c r="D19" s="35" t="s">
        <v>18</v>
      </c>
      <c r="E19" s="35" t="s">
        <v>15</v>
      </c>
      <c r="F19" s="34" t="s">
        <v>15</v>
      </c>
      <c r="G19" s="36" t="s">
        <v>15</v>
      </c>
      <c r="H19" s="25">
        <f t="shared" ref="H19:N19" si="8">H21</f>
        <v>6990.7</v>
      </c>
      <c r="I19" s="25">
        <f t="shared" si="8"/>
        <v>7764.9</v>
      </c>
      <c r="J19" s="25">
        <f t="shared" si="8"/>
        <v>7414.4</v>
      </c>
      <c r="K19" s="26">
        <f t="shared" si="8"/>
        <v>8058.3</v>
      </c>
      <c r="L19" s="26">
        <f t="shared" si="8"/>
        <v>7980.8</v>
      </c>
      <c r="M19" s="25">
        <f t="shared" si="8"/>
        <v>8394.1</v>
      </c>
      <c r="N19" s="25">
        <f t="shared" si="8"/>
        <v>0</v>
      </c>
      <c r="O19" s="25">
        <f>O21</f>
        <v>9059.7000000000007</v>
      </c>
      <c r="P19" s="25">
        <f>P21</f>
        <v>8811.4</v>
      </c>
      <c r="Q19" s="25">
        <f>'[1]Прил №2 к МП'!$M$22</f>
        <v>9023.5</v>
      </c>
      <c r="R19" s="17">
        <f t="shared" si="1"/>
        <v>9023.5</v>
      </c>
      <c r="S19" s="17">
        <f t="shared" si="2"/>
        <v>82521.299999999988</v>
      </c>
    </row>
    <row r="20" spans="1:19" x14ac:dyDescent="0.25">
      <c r="A20" s="42"/>
      <c r="B20" s="43"/>
      <c r="C20" s="30" t="s">
        <v>16</v>
      </c>
      <c r="D20" s="37"/>
      <c r="E20" s="38"/>
      <c r="F20" s="37"/>
      <c r="G20" s="39"/>
      <c r="H20" s="25"/>
      <c r="I20" s="25"/>
      <c r="J20" s="25"/>
      <c r="K20" s="26"/>
      <c r="L20" s="26"/>
      <c r="M20" s="25"/>
      <c r="N20" s="25"/>
      <c r="O20" s="25"/>
      <c r="P20" s="17">
        <f>O20</f>
        <v>0</v>
      </c>
      <c r="Q20" s="17"/>
      <c r="R20" s="17">
        <f t="shared" si="1"/>
        <v>0</v>
      </c>
      <c r="S20" s="17">
        <f t="shared" si="2"/>
        <v>0</v>
      </c>
    </row>
    <row r="21" spans="1:19" ht="55.5" customHeight="1" x14ac:dyDescent="0.25">
      <c r="A21" s="42"/>
      <c r="B21" s="44"/>
      <c r="C21" s="15" t="s">
        <v>17</v>
      </c>
      <c r="D21" s="47">
        <v>975</v>
      </c>
      <c r="E21" s="48" t="s">
        <v>15</v>
      </c>
      <c r="F21" s="47" t="s">
        <v>15</v>
      </c>
      <c r="G21" s="49" t="s">
        <v>15</v>
      </c>
      <c r="H21" s="25">
        <v>6990.7</v>
      </c>
      <c r="I21" s="25">
        <v>7764.9</v>
      </c>
      <c r="J21" s="25">
        <v>7414.4</v>
      </c>
      <c r="K21" s="26">
        <v>8058.3</v>
      </c>
      <c r="L21" s="26">
        <v>7980.8</v>
      </c>
      <c r="M21" s="25">
        <v>8394.1</v>
      </c>
      <c r="N21" s="25"/>
      <c r="O21" s="25">
        <v>9059.7000000000007</v>
      </c>
      <c r="P21" s="25">
        <v>8811.4</v>
      </c>
      <c r="Q21" s="25">
        <v>9023.5</v>
      </c>
      <c r="R21" s="17">
        <f>'[1]Прил №2 к МП'!$N$22</f>
        <v>9023.5</v>
      </c>
      <c r="S21" s="17">
        <f t="shared" si="2"/>
        <v>82521.299999999988</v>
      </c>
    </row>
    <row r="22" spans="1:19" ht="47.25" customHeight="1" x14ac:dyDescent="0.25">
      <c r="A22" s="50" t="s">
        <v>31</v>
      </c>
      <c r="B22" s="41" t="s">
        <v>32</v>
      </c>
      <c r="C22" s="30" t="s">
        <v>14</v>
      </c>
      <c r="D22" s="34"/>
      <c r="E22" s="35"/>
      <c r="F22" s="34"/>
      <c r="G22" s="36"/>
      <c r="H22" s="25">
        <f t="shared" ref="H22:M22" si="9">H24+H25+H26</f>
        <v>28125.4</v>
      </c>
      <c r="I22" s="25">
        <f t="shared" si="9"/>
        <v>29557</v>
      </c>
      <c r="J22" s="25">
        <f t="shared" si="9"/>
        <v>32395.200000000001</v>
      </c>
      <c r="K22" s="26">
        <f>K24+K25+K26</f>
        <v>33800</v>
      </c>
      <c r="L22" s="26">
        <f>L24+L25+L26</f>
        <v>36181.299999999996</v>
      </c>
      <c r="M22" s="25">
        <f t="shared" si="9"/>
        <v>44408.899999999994</v>
      </c>
      <c r="N22" s="25">
        <f>N24+N25+N26</f>
        <v>59607.7</v>
      </c>
      <c r="O22" s="25">
        <f>O24+O25+O26</f>
        <v>56741.900000000009</v>
      </c>
      <c r="P22" s="17">
        <f>'[1]Прил №2 к МП'!$L$27</f>
        <v>86422.2</v>
      </c>
      <c r="Q22" s="17">
        <f>Q24+Q25+Q26</f>
        <v>71282</v>
      </c>
      <c r="R22" s="17">
        <f>R24+R25+R26</f>
        <v>65278.5</v>
      </c>
      <c r="S22" s="17">
        <f t="shared" si="2"/>
        <v>543800.10000000009</v>
      </c>
    </row>
    <row r="23" spans="1:19" x14ac:dyDescent="0.25">
      <c r="A23" s="50"/>
      <c r="B23" s="43"/>
      <c r="C23" s="30" t="s">
        <v>16</v>
      </c>
      <c r="D23" s="37"/>
      <c r="E23" s="38"/>
      <c r="F23" s="37"/>
      <c r="G23" s="39"/>
      <c r="H23" s="25"/>
      <c r="I23" s="25"/>
      <c r="J23" s="25"/>
      <c r="K23" s="26"/>
      <c r="L23" s="26"/>
      <c r="M23" s="25"/>
      <c r="N23" s="25"/>
      <c r="O23" s="25"/>
      <c r="P23" s="17">
        <f>O23</f>
        <v>0</v>
      </c>
      <c r="Q23" s="17"/>
      <c r="R23" s="17">
        <f t="shared" si="1"/>
        <v>0</v>
      </c>
      <c r="S23" s="17">
        <f t="shared" si="2"/>
        <v>0</v>
      </c>
    </row>
    <row r="24" spans="1:19" ht="48.75" customHeight="1" x14ac:dyDescent="0.25">
      <c r="A24" s="50"/>
      <c r="B24" s="43"/>
      <c r="C24" s="15" t="s">
        <v>17</v>
      </c>
      <c r="D24" s="35" t="s">
        <v>18</v>
      </c>
      <c r="E24" s="35" t="s">
        <v>15</v>
      </c>
      <c r="F24" s="34"/>
      <c r="G24" s="36"/>
      <c r="H24" s="25">
        <v>6449.1</v>
      </c>
      <c r="I24" s="25">
        <v>7182.6</v>
      </c>
      <c r="J24" s="25">
        <v>7594.7</v>
      </c>
      <c r="K24" s="26">
        <v>9247.5</v>
      </c>
      <c r="L24" s="26">
        <v>9944.2999999999993</v>
      </c>
      <c r="M24" s="25">
        <f>44408.9-M25-M26</f>
        <v>17757.2</v>
      </c>
      <c r="N24" s="25">
        <v>25807.3</v>
      </c>
      <c r="O24" s="25">
        <f>56741.9-O25-O26</f>
        <v>29123.100000000002</v>
      </c>
      <c r="P24" s="17">
        <f>'[3]Приложение 2'!$P$52-P26+'[3]Приложение 2'!$P$54+'[3]Приложение 2'!$P$56</f>
        <v>35690.999999999993</v>
      </c>
      <c r="Q24" s="17">
        <f>'[3]Приложение 2'!$Q$52-Q26+'[3]Приложение 2'!$Q$54+'[3]Приложение 2'!$Q$56</f>
        <v>32931.300000000003</v>
      </c>
      <c r="R24" s="17">
        <f>'[3]Приложение 2'!$R$52-'[3]Приложение 2'!$R$21+'[3]Приложение 2'!$R$54+'[3]Приложение 2'!$R$56</f>
        <v>32931.300000000003</v>
      </c>
      <c r="S24" s="17">
        <f t="shared" si="2"/>
        <v>214659.39999999997</v>
      </c>
    </row>
    <row r="25" spans="1:19" ht="39" customHeight="1" x14ac:dyDescent="0.25">
      <c r="A25" s="50"/>
      <c r="B25" s="43"/>
      <c r="C25" s="30" t="s">
        <v>19</v>
      </c>
      <c r="D25" s="34">
        <v>906</v>
      </c>
      <c r="E25" s="35" t="s">
        <v>15</v>
      </c>
      <c r="F25" s="34"/>
      <c r="G25" s="34"/>
      <c r="H25" s="26">
        <v>7523.2</v>
      </c>
      <c r="I25" s="26">
        <f>3247.3+4190.7</f>
        <v>7438</v>
      </c>
      <c r="J25" s="26">
        <f>9009.9+473.9</f>
        <v>9483.7999999999993</v>
      </c>
      <c r="K25" s="26">
        <f>8415+765</f>
        <v>9180</v>
      </c>
      <c r="L25" s="26">
        <v>10241.9</v>
      </c>
      <c r="M25" s="25">
        <v>9907.9</v>
      </c>
      <c r="N25" s="25">
        <v>15279.7</v>
      </c>
      <c r="O25" s="25">
        <v>5577.5</v>
      </c>
      <c r="P25" s="17">
        <f>'[3]Приложение 2'!$P$58+'[3]Приложение 2'!$P$59</f>
        <v>27092.400000000001</v>
      </c>
      <c r="Q25" s="17">
        <f>'[3]Приложение 2'!$Q$58+'[3]Приложение 2'!$Q$59</f>
        <v>18010.7</v>
      </c>
      <c r="R25" s="17">
        <f>'[3]Приложение 2'!$R$58+'[3]Приложение 2'!$R$59</f>
        <v>12007.2</v>
      </c>
      <c r="S25" s="17">
        <f t="shared" si="2"/>
        <v>131742.29999999999</v>
      </c>
    </row>
    <row r="26" spans="1:19" ht="30" customHeight="1" x14ac:dyDescent="0.25">
      <c r="A26" s="50"/>
      <c r="B26" s="44"/>
      <c r="C26" s="30" t="s">
        <v>21</v>
      </c>
      <c r="D26" s="47">
        <v>976</v>
      </c>
      <c r="E26" s="48" t="s">
        <v>15</v>
      </c>
      <c r="F26" s="37"/>
      <c r="G26" s="37"/>
      <c r="H26" s="25">
        <v>14153.1</v>
      </c>
      <c r="I26" s="25">
        <v>14936.4</v>
      </c>
      <c r="J26" s="26">
        <v>15316.7</v>
      </c>
      <c r="K26" s="26">
        <v>15372.5</v>
      </c>
      <c r="L26" s="26">
        <v>15995.1</v>
      </c>
      <c r="M26" s="25">
        <v>16743.8</v>
      </c>
      <c r="N26" s="25">
        <v>18520.7</v>
      </c>
      <c r="O26" s="25">
        <v>22041.3</v>
      </c>
      <c r="P26" s="17">
        <f>'[3]Приложение 2'!$P$21</f>
        <v>23638.799999999999</v>
      </c>
      <c r="Q26" s="17">
        <f>'[3]Приложение 2'!$Q$21</f>
        <v>20340</v>
      </c>
      <c r="R26" s="17">
        <f>'[3]Приложение 2'!$R$21</f>
        <v>20340</v>
      </c>
      <c r="S26" s="17">
        <f t="shared" si="2"/>
        <v>197398.39999999999</v>
      </c>
    </row>
    <row r="27" spans="1:19" x14ac:dyDescent="0.25">
      <c r="I27" s="51"/>
      <c r="J27" s="51"/>
      <c r="K27" s="52"/>
      <c r="L27" s="51"/>
      <c r="M27" s="51"/>
      <c r="N27" s="51"/>
      <c r="O27" s="51"/>
      <c r="P27" s="51"/>
      <c r="Q27" s="51"/>
      <c r="R27" s="51"/>
    </row>
    <row r="28" spans="1:19" ht="18.75" customHeight="1" x14ac:dyDescent="0.25">
      <c r="A28" s="1" t="s">
        <v>33</v>
      </c>
      <c r="S28" s="1" t="s">
        <v>34</v>
      </c>
    </row>
    <row r="29" spans="1:19" x14ac:dyDescent="0.25">
      <c r="K29" s="54"/>
      <c r="L29" s="54"/>
      <c r="M29" s="54"/>
      <c r="N29" s="54"/>
      <c r="O29" s="54"/>
      <c r="P29" s="54"/>
      <c r="Q29" s="54"/>
      <c r="R29" s="54"/>
      <c r="S29" s="54"/>
    </row>
    <row r="31" spans="1:19" x14ac:dyDescent="0.25">
      <c r="L31" s="55"/>
    </row>
    <row r="32" spans="1:19" x14ac:dyDescent="0.25">
      <c r="L32" s="55"/>
    </row>
    <row r="33" spans="12:19" x14ac:dyDescent="0.25">
      <c r="S33" s="51"/>
    </row>
    <row r="34" spans="12:19" x14ac:dyDescent="0.25">
      <c r="L34" s="55"/>
      <c r="S34" s="51"/>
    </row>
    <row r="36" spans="12:19" x14ac:dyDescent="0.25">
      <c r="S36" s="51"/>
    </row>
    <row r="37" spans="12:19" x14ac:dyDescent="0.25">
      <c r="S37" s="51"/>
    </row>
  </sheetData>
  <mergeCells count="17">
    <mergeCell ref="A19:A21"/>
    <mergeCell ref="B19:B21"/>
    <mergeCell ref="A22:A26"/>
    <mergeCell ref="B22:B26"/>
    <mergeCell ref="A5:A10"/>
    <mergeCell ref="B5:B10"/>
    <mergeCell ref="A11:A14"/>
    <mergeCell ref="B11:B14"/>
    <mergeCell ref="A15:A18"/>
    <mergeCell ref="B15:B18"/>
    <mergeCell ref="M1:S1"/>
    <mergeCell ref="A2:S2"/>
    <mergeCell ref="A3:A4"/>
    <mergeCell ref="B3:B4"/>
    <mergeCell ref="C3:C4"/>
    <mergeCell ref="D3:G3"/>
    <mergeCell ref="H3:S3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D138"/>
  <sheetViews>
    <sheetView view="pageBreakPreview" zoomScaleNormal="100" zoomScaleSheetLayoutView="100" workbookViewId="0">
      <selection activeCell="C26" sqref="C26"/>
    </sheetView>
  </sheetViews>
  <sheetFormatPr defaultColWidth="9.28515625" defaultRowHeight="15" x14ac:dyDescent="0.2"/>
  <cols>
    <col min="1" max="1" width="18.42578125" style="56" customWidth="1"/>
    <col min="2" max="2" width="24.85546875" style="56" customWidth="1"/>
    <col min="3" max="3" width="30.140625" style="56" customWidth="1"/>
    <col min="4" max="4" width="13.42578125" style="56" customWidth="1"/>
    <col min="5" max="10" width="16" style="56" customWidth="1"/>
    <col min="11" max="15" width="16" style="57" customWidth="1"/>
    <col min="16" max="16384" width="9.28515625" style="56"/>
  </cols>
  <sheetData>
    <row r="1" spans="1:30" ht="72" customHeight="1" x14ac:dyDescent="0.25">
      <c r="L1" s="58" t="s">
        <v>35</v>
      </c>
      <c r="M1" s="58"/>
      <c r="N1" s="58"/>
      <c r="O1" s="58"/>
      <c r="P1" s="59"/>
      <c r="Q1" s="59"/>
      <c r="R1" s="59"/>
      <c r="S1" s="53"/>
      <c r="T1" s="53"/>
      <c r="V1" s="59"/>
      <c r="W1" s="59"/>
      <c r="X1" s="59"/>
      <c r="Y1" s="60" t="s">
        <v>35</v>
      </c>
      <c r="Z1" s="60"/>
      <c r="AA1" s="60"/>
      <c r="AB1" s="60"/>
      <c r="AC1" s="60"/>
      <c r="AD1" s="60"/>
    </row>
    <row r="2" spans="1:30" ht="55.5" customHeight="1" x14ac:dyDescent="0.2">
      <c r="A2" s="61" t="s">
        <v>36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30" ht="33.75" customHeight="1" x14ac:dyDescent="0.2">
      <c r="A3" s="50" t="s">
        <v>37</v>
      </c>
      <c r="B3" s="33" t="s">
        <v>38</v>
      </c>
      <c r="C3" s="62" t="s">
        <v>39</v>
      </c>
      <c r="D3" s="63" t="s">
        <v>40</v>
      </c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30" ht="36" customHeight="1" x14ac:dyDescent="0.2">
      <c r="A4" s="50"/>
      <c r="B4" s="33"/>
      <c r="C4" s="64"/>
      <c r="D4" s="65" t="s">
        <v>41</v>
      </c>
      <c r="E4" s="65" t="s">
        <v>42</v>
      </c>
      <c r="F4" s="65" t="s">
        <v>43</v>
      </c>
      <c r="G4" s="66" t="s">
        <v>44</v>
      </c>
      <c r="H4" s="65" t="s">
        <v>45</v>
      </c>
      <c r="I4" s="65" t="s">
        <v>46</v>
      </c>
      <c r="J4" s="65" t="s">
        <v>47</v>
      </c>
      <c r="K4" s="65" t="s">
        <v>48</v>
      </c>
      <c r="L4" s="65" t="s">
        <v>49</v>
      </c>
      <c r="M4" s="65" t="s">
        <v>50</v>
      </c>
      <c r="N4" s="65" t="s">
        <v>51</v>
      </c>
      <c r="O4" s="65" t="s">
        <v>11</v>
      </c>
    </row>
    <row r="5" spans="1:30" ht="15.75" customHeight="1" x14ac:dyDescent="0.2">
      <c r="A5" s="40" t="s">
        <v>12</v>
      </c>
      <c r="B5" s="41" t="s">
        <v>13</v>
      </c>
      <c r="C5" s="67" t="s">
        <v>52</v>
      </c>
      <c r="D5" s="68">
        <f t="shared" ref="D5:I5" si="0">D8+D9+D10</f>
        <v>447829.60000000003</v>
      </c>
      <c r="E5" s="68">
        <f t="shared" si="0"/>
        <v>473625.59999999998</v>
      </c>
      <c r="F5" s="68">
        <f t="shared" si="0"/>
        <v>511729.69999999995</v>
      </c>
      <c r="G5" s="69">
        <f t="shared" si="0"/>
        <v>523228.00000000006</v>
      </c>
      <c r="H5" s="69">
        <f>H8+H9+H10</f>
        <v>549349</v>
      </c>
      <c r="I5" s="68">
        <f t="shared" si="0"/>
        <v>614389.6</v>
      </c>
      <c r="J5" s="68">
        <f t="shared" ref="J5:O5" si="1">J8+J9+J10+J7</f>
        <v>635052.30000000005</v>
      </c>
      <c r="K5" s="68">
        <f t="shared" si="1"/>
        <v>730302.39999999991</v>
      </c>
      <c r="L5" s="68">
        <f t="shared" si="1"/>
        <v>823860.20000000007</v>
      </c>
      <c r="M5" s="68">
        <f t="shared" si="1"/>
        <v>742022.99999999988</v>
      </c>
      <c r="N5" s="68">
        <f t="shared" si="1"/>
        <v>712079.79999999993</v>
      </c>
      <c r="O5" s="68">
        <f t="shared" si="1"/>
        <v>6763469.1999999993</v>
      </c>
    </row>
    <row r="6" spans="1:30" ht="15.75" x14ac:dyDescent="0.2">
      <c r="A6" s="42"/>
      <c r="B6" s="43"/>
      <c r="C6" s="70" t="s">
        <v>53</v>
      </c>
      <c r="D6" s="71"/>
      <c r="E6" s="72"/>
      <c r="F6" s="72"/>
      <c r="G6" s="73"/>
      <c r="H6" s="73"/>
      <c r="I6" s="72"/>
      <c r="J6" s="72"/>
      <c r="K6" s="72"/>
      <c r="L6" s="68"/>
      <c r="M6" s="68"/>
      <c r="N6" s="68">
        <f>M6</f>
        <v>0</v>
      </c>
      <c r="O6" s="68"/>
    </row>
    <row r="7" spans="1:30" ht="15.75" x14ac:dyDescent="0.2">
      <c r="A7" s="42"/>
      <c r="B7" s="43"/>
      <c r="C7" s="74" t="s">
        <v>54</v>
      </c>
      <c r="D7" s="71"/>
      <c r="E7" s="72"/>
      <c r="F7" s="72"/>
      <c r="G7" s="73"/>
      <c r="H7" s="73"/>
      <c r="I7" s="72"/>
      <c r="J7" s="72">
        <f>J18</f>
        <v>12598.599999999999</v>
      </c>
      <c r="K7" s="72">
        <f>K18+K29</f>
        <v>26440.1</v>
      </c>
      <c r="L7" s="72">
        <f>L18+L29</f>
        <v>29765.9</v>
      </c>
      <c r="M7" s="72">
        <f>M18+M29</f>
        <v>38051.599999999999</v>
      </c>
      <c r="N7" s="72">
        <f>N18+N29</f>
        <v>20642.099999999999</v>
      </c>
      <c r="O7" s="72">
        <f>O18+O29</f>
        <v>127498.3</v>
      </c>
    </row>
    <row r="8" spans="1:30" ht="15.75" customHeight="1" x14ac:dyDescent="0.2">
      <c r="A8" s="42"/>
      <c r="B8" s="43"/>
      <c r="C8" s="74" t="s">
        <v>55</v>
      </c>
      <c r="D8" s="68">
        <f t="shared" ref="D8:N10" si="2">D13+D19+D24+D30</f>
        <v>215148.1</v>
      </c>
      <c r="E8" s="68">
        <f t="shared" si="2"/>
        <v>208367.5</v>
      </c>
      <c r="F8" s="68">
        <f t="shared" si="2"/>
        <v>280623.8</v>
      </c>
      <c r="G8" s="69">
        <f t="shared" si="2"/>
        <v>301525.8</v>
      </c>
      <c r="H8" s="69">
        <f t="shared" si="2"/>
        <v>326259.80000000005</v>
      </c>
      <c r="I8" s="68">
        <f t="shared" si="2"/>
        <v>354583.9</v>
      </c>
      <c r="J8" s="68">
        <f t="shared" si="2"/>
        <v>389409.10000000003</v>
      </c>
      <c r="K8" s="68">
        <f t="shared" si="2"/>
        <v>409788</v>
      </c>
      <c r="L8" s="68">
        <f t="shared" si="2"/>
        <v>482193</v>
      </c>
      <c r="M8" s="68">
        <f t="shared" si="2"/>
        <v>421747.7</v>
      </c>
      <c r="N8" s="68">
        <f t="shared" si="2"/>
        <v>409261.5</v>
      </c>
      <c r="O8" s="68">
        <f>SUM(D8:N8)</f>
        <v>3798908.2</v>
      </c>
    </row>
    <row r="9" spans="1:30" ht="15.75" x14ac:dyDescent="0.2">
      <c r="A9" s="42"/>
      <c r="B9" s="43"/>
      <c r="C9" s="74" t="s">
        <v>56</v>
      </c>
      <c r="D9" s="68">
        <f t="shared" si="2"/>
        <v>217161.60000000001</v>
      </c>
      <c r="E9" s="68">
        <f t="shared" si="2"/>
        <v>249957.8</v>
      </c>
      <c r="F9" s="68">
        <f t="shared" si="2"/>
        <v>211534.09999999998</v>
      </c>
      <c r="G9" s="69">
        <f t="shared" si="2"/>
        <v>199302.50000000003</v>
      </c>
      <c r="H9" s="69">
        <f t="shared" si="2"/>
        <v>198036.09999999998</v>
      </c>
      <c r="I9" s="68">
        <f t="shared" si="2"/>
        <v>232969.00000000003</v>
      </c>
      <c r="J9" s="68">
        <f t="shared" si="2"/>
        <v>211201.8</v>
      </c>
      <c r="K9" s="68">
        <f t="shared" si="2"/>
        <v>271205.7</v>
      </c>
      <c r="L9" s="68">
        <f t="shared" si="2"/>
        <v>289711.3</v>
      </c>
      <c r="M9" s="68">
        <f t="shared" si="2"/>
        <v>260184.49999999997</v>
      </c>
      <c r="N9" s="68">
        <f t="shared" si="2"/>
        <v>260136.99999999997</v>
      </c>
      <c r="O9" s="68">
        <f>SUM(D9:N9)</f>
        <v>2601401.4</v>
      </c>
    </row>
    <row r="10" spans="1:30" ht="15" customHeight="1" x14ac:dyDescent="0.2">
      <c r="A10" s="75"/>
      <c r="B10" s="44"/>
      <c r="C10" s="74" t="s">
        <v>57</v>
      </c>
      <c r="D10" s="68">
        <f t="shared" si="2"/>
        <v>15519.9</v>
      </c>
      <c r="E10" s="68">
        <f t="shared" si="2"/>
        <v>15300.3</v>
      </c>
      <c r="F10" s="68">
        <f t="shared" si="2"/>
        <v>19571.8</v>
      </c>
      <c r="G10" s="69">
        <f t="shared" si="2"/>
        <v>22399.7</v>
      </c>
      <c r="H10" s="69">
        <f t="shared" si="2"/>
        <v>25053.100000000002</v>
      </c>
      <c r="I10" s="68">
        <f t="shared" si="2"/>
        <v>26836.7</v>
      </c>
      <c r="J10" s="68">
        <f t="shared" si="2"/>
        <v>21842.799999999999</v>
      </c>
      <c r="K10" s="68">
        <f>K15+K21+K26+K32</f>
        <v>22868.6</v>
      </c>
      <c r="L10" s="68">
        <f>L15+L21+L26+L32</f>
        <v>22190</v>
      </c>
      <c r="M10" s="68">
        <f>M15+M21+M26+M32</f>
        <v>22039.200000000001</v>
      </c>
      <c r="N10" s="68">
        <f>N15+N21+N26+N32</f>
        <v>22039.200000000001</v>
      </c>
      <c r="O10" s="68">
        <f>SUM(D10:N10)</f>
        <v>235661.30000000002</v>
      </c>
    </row>
    <row r="11" spans="1:30" ht="15.75" customHeight="1" x14ac:dyDescent="0.2">
      <c r="A11" s="40" t="s">
        <v>58</v>
      </c>
      <c r="B11" s="41" t="s">
        <v>24</v>
      </c>
      <c r="C11" s="67" t="s">
        <v>52</v>
      </c>
      <c r="D11" s="68">
        <f t="shared" ref="D11:J11" si="3">D13+D14+D15</f>
        <v>198091.59999999998</v>
      </c>
      <c r="E11" s="68">
        <f t="shared" si="3"/>
        <v>204824.59999999998</v>
      </c>
      <c r="F11" s="68">
        <f t="shared" si="3"/>
        <v>219030.5</v>
      </c>
      <c r="G11" s="69">
        <f t="shared" si="3"/>
        <v>218633.1</v>
      </c>
      <c r="H11" s="69">
        <f t="shared" si="3"/>
        <v>229336.9</v>
      </c>
      <c r="I11" s="68">
        <f t="shared" si="3"/>
        <v>267495.40000000002</v>
      </c>
      <c r="J11" s="68">
        <f t="shared" si="3"/>
        <v>275550.39999999997</v>
      </c>
      <c r="K11" s="68">
        <f>K13+K14+K15</f>
        <v>310856.8</v>
      </c>
      <c r="L11" s="68">
        <f>L13+L14+L15</f>
        <v>341628.2</v>
      </c>
      <c r="M11" s="68">
        <f>M13+M14+M15</f>
        <v>308975.59999999998</v>
      </c>
      <c r="N11" s="68">
        <f>M11</f>
        <v>308975.59999999998</v>
      </c>
      <c r="O11" s="68">
        <f>O13+O14+O15</f>
        <v>2883398.7</v>
      </c>
    </row>
    <row r="12" spans="1:30" ht="15.75" x14ac:dyDescent="0.2">
      <c r="A12" s="42"/>
      <c r="B12" s="43"/>
      <c r="C12" s="70" t="s">
        <v>53</v>
      </c>
      <c r="D12" s="71"/>
      <c r="E12" s="68"/>
      <c r="F12" s="72"/>
      <c r="G12" s="73"/>
      <c r="H12" s="73"/>
      <c r="I12" s="72"/>
      <c r="J12" s="72"/>
      <c r="K12" s="72"/>
      <c r="L12" s="68">
        <f>K12</f>
        <v>0</v>
      </c>
      <c r="M12" s="68"/>
      <c r="N12" s="68">
        <f>M12</f>
        <v>0</v>
      </c>
      <c r="O12" s="68">
        <f>SUM(D12:M12)</f>
        <v>0</v>
      </c>
    </row>
    <row r="13" spans="1:30" ht="15.75" x14ac:dyDescent="0.2">
      <c r="A13" s="42"/>
      <c r="B13" s="43"/>
      <c r="C13" s="76" t="s">
        <v>59</v>
      </c>
      <c r="D13" s="71">
        <v>92552.9</v>
      </c>
      <c r="E13" s="68">
        <v>81485.8</v>
      </c>
      <c r="F13" s="72">
        <v>116158.7</v>
      </c>
      <c r="G13" s="73">
        <v>122752.3</v>
      </c>
      <c r="H13" s="73">
        <v>129296.8</v>
      </c>
      <c r="I13" s="72">
        <v>147632</v>
      </c>
      <c r="J13" s="72">
        <v>168234.1</v>
      </c>
      <c r="K13" s="72">
        <v>174939.2</v>
      </c>
      <c r="L13" s="72">
        <v>201295.6</v>
      </c>
      <c r="M13" s="72">
        <v>177478.7</v>
      </c>
      <c r="N13" s="68">
        <f>M13</f>
        <v>177478.7</v>
      </c>
      <c r="O13" s="68">
        <f>SUM(D13:N13)</f>
        <v>1589304.8</v>
      </c>
    </row>
    <row r="14" spans="1:30" ht="15.75" x14ac:dyDescent="0.2">
      <c r="A14" s="42"/>
      <c r="B14" s="43"/>
      <c r="C14" s="76" t="s">
        <v>60</v>
      </c>
      <c r="D14" s="71">
        <v>92376.4</v>
      </c>
      <c r="E14" s="68">
        <v>110895</v>
      </c>
      <c r="F14" s="68">
        <v>86284.2</v>
      </c>
      <c r="G14" s="69">
        <v>76465.3</v>
      </c>
      <c r="H14" s="69">
        <v>78788.7</v>
      </c>
      <c r="I14" s="68">
        <v>99489.9</v>
      </c>
      <c r="J14" s="68">
        <v>92286.7</v>
      </c>
      <c r="K14" s="68">
        <v>115743.3</v>
      </c>
      <c r="L14" s="68">
        <v>121009.60000000001</v>
      </c>
      <c r="M14" s="72">
        <v>111400.4</v>
      </c>
      <c r="N14" s="68">
        <f>M14</f>
        <v>111400.4</v>
      </c>
      <c r="O14" s="68">
        <f t="shared" ref="O14:O32" si="4">SUM(D14:N14)</f>
        <v>1096139.8999999999</v>
      </c>
    </row>
    <row r="15" spans="1:30" ht="31.5" x14ac:dyDescent="0.2">
      <c r="A15" s="75"/>
      <c r="B15" s="44"/>
      <c r="C15" s="76" t="s">
        <v>61</v>
      </c>
      <c r="D15" s="71">
        <v>13162.3</v>
      </c>
      <c r="E15" s="68">
        <v>12443.8</v>
      </c>
      <c r="F15" s="72">
        <v>16587.599999999999</v>
      </c>
      <c r="G15" s="73">
        <v>19415.5</v>
      </c>
      <c r="H15" s="73">
        <v>21251.4</v>
      </c>
      <c r="I15" s="72">
        <v>20373.5</v>
      </c>
      <c r="J15" s="72">
        <v>15029.6</v>
      </c>
      <c r="K15" s="72">
        <v>20174.3</v>
      </c>
      <c r="L15" s="72">
        <v>19323</v>
      </c>
      <c r="M15" s="72">
        <v>20096.5</v>
      </c>
      <c r="N15" s="68">
        <f>M15</f>
        <v>20096.5</v>
      </c>
      <c r="O15" s="68">
        <f t="shared" si="4"/>
        <v>197954</v>
      </c>
    </row>
    <row r="16" spans="1:30" ht="15.75" customHeight="1" x14ac:dyDescent="0.2">
      <c r="A16" s="40" t="s">
        <v>62</v>
      </c>
      <c r="B16" s="41" t="s">
        <v>28</v>
      </c>
      <c r="C16" s="67" t="s">
        <v>52</v>
      </c>
      <c r="D16" s="68">
        <f t="shared" ref="D16:I16" si="5">D19+D20+D21</f>
        <v>214621.9</v>
      </c>
      <c r="E16" s="68">
        <f t="shared" si="5"/>
        <v>231479.09999999998</v>
      </c>
      <c r="F16" s="68">
        <f t="shared" si="5"/>
        <v>252889.59999999998</v>
      </c>
      <c r="G16" s="69">
        <f t="shared" si="5"/>
        <v>262736.60000000003</v>
      </c>
      <c r="H16" s="69">
        <f t="shared" si="5"/>
        <v>275850</v>
      </c>
      <c r="I16" s="68">
        <f t="shared" si="5"/>
        <v>294091.2</v>
      </c>
      <c r="J16" s="68">
        <f>J19+J20+J21+J18</f>
        <v>299894.2</v>
      </c>
      <c r="K16" s="68">
        <f>K19+K20+K21+K18</f>
        <v>353643.99999999994</v>
      </c>
      <c r="L16" s="68">
        <f>L19+L20+L21+L18</f>
        <v>386998.4</v>
      </c>
      <c r="M16" s="68">
        <f>M19+M20+M21+M18</f>
        <v>352741.9</v>
      </c>
      <c r="N16" s="68">
        <f>N18+N19+N20+N21</f>
        <v>328802.2</v>
      </c>
      <c r="O16" s="68">
        <f t="shared" si="4"/>
        <v>3253749.0999999996</v>
      </c>
    </row>
    <row r="17" spans="1:15" ht="15.75" x14ac:dyDescent="0.2">
      <c r="A17" s="42"/>
      <c r="B17" s="43"/>
      <c r="C17" s="70" t="s">
        <v>53</v>
      </c>
      <c r="D17" s="71"/>
      <c r="E17" s="72"/>
      <c r="F17" s="72"/>
      <c r="G17" s="73"/>
      <c r="H17" s="73"/>
      <c r="I17" s="72"/>
      <c r="J17" s="72"/>
      <c r="K17" s="72"/>
      <c r="L17" s="68">
        <f>K17</f>
        <v>0</v>
      </c>
      <c r="M17" s="68"/>
      <c r="N17" s="68">
        <f>M17</f>
        <v>0</v>
      </c>
      <c r="O17" s="68">
        <f t="shared" si="4"/>
        <v>0</v>
      </c>
    </row>
    <row r="18" spans="1:15" ht="15.75" x14ac:dyDescent="0.2">
      <c r="A18" s="42"/>
      <c r="B18" s="43"/>
      <c r="C18" s="74" t="s">
        <v>54</v>
      </c>
      <c r="D18" s="71"/>
      <c r="E18" s="72"/>
      <c r="F18" s="72"/>
      <c r="G18" s="73"/>
      <c r="H18" s="73"/>
      <c r="I18" s="72"/>
      <c r="J18" s="72">
        <f>2668.9+5195+4734.7</f>
        <v>12598.599999999999</v>
      </c>
      <c r="K18" s="72">
        <v>26440.1</v>
      </c>
      <c r="L18" s="68">
        <f>'[4]Мероприятия пп 2'!$P$151</f>
        <v>28845.9</v>
      </c>
      <c r="M18" s="68">
        <f>'[4]Мероприятия пп 2'!$Q$151</f>
        <v>29526.5</v>
      </c>
      <c r="N18" s="68">
        <v>12117</v>
      </c>
      <c r="O18" s="68">
        <f t="shared" si="4"/>
        <v>109528.1</v>
      </c>
    </row>
    <row r="19" spans="1:15" ht="15.75" x14ac:dyDescent="0.2">
      <c r="A19" s="42"/>
      <c r="B19" s="43"/>
      <c r="C19" s="67" t="s">
        <v>63</v>
      </c>
      <c r="D19" s="71">
        <v>109406.9</v>
      </c>
      <c r="E19" s="68">
        <v>113565.8</v>
      </c>
      <c r="F19" s="72">
        <v>149314.1</v>
      </c>
      <c r="G19" s="73">
        <v>163921.20000000001</v>
      </c>
      <c r="H19" s="73">
        <v>178896.1</v>
      </c>
      <c r="I19" s="72">
        <v>189252.9</v>
      </c>
      <c r="J19" s="72">
        <v>201386.3</v>
      </c>
      <c r="K19" s="72">
        <v>220168.3</v>
      </c>
      <c r="L19" s="68">
        <f>'[4]Мероприятия пп 2'!$P$150</f>
        <v>243087</v>
      </c>
      <c r="M19" s="68">
        <f>'[4]Мероприятия пп 2'!$Q$150</f>
        <v>224870.5</v>
      </c>
      <c r="N19" s="68">
        <f>'[4]Мероприятия пп 2'!$R$150</f>
        <v>218387.8</v>
      </c>
      <c r="O19" s="68">
        <f t="shared" si="4"/>
        <v>2012256.9000000001</v>
      </c>
    </row>
    <row r="20" spans="1:15" ht="15.75" x14ac:dyDescent="0.2">
      <c r="A20" s="42"/>
      <c r="B20" s="43"/>
      <c r="C20" s="67" t="s">
        <v>64</v>
      </c>
      <c r="D20" s="71">
        <v>103390.39999999999</v>
      </c>
      <c r="E20" s="68">
        <v>115762</v>
      </c>
      <c r="F20" s="68">
        <v>101282.7</v>
      </c>
      <c r="G20" s="69">
        <v>96522.6</v>
      </c>
      <c r="H20" s="69">
        <v>93843.6</v>
      </c>
      <c r="I20" s="68">
        <v>99156.3</v>
      </c>
      <c r="J20" s="68">
        <v>79096.100000000006</v>
      </c>
      <c r="K20" s="68">
        <v>104341.3</v>
      </c>
      <c r="L20" s="68">
        <f>'[4]Мероприятия пп 2'!$P$152</f>
        <v>112198.5</v>
      </c>
      <c r="M20" s="68">
        <f>'[4]Мероприятия пп 2'!$Q$152</f>
        <v>96402.2</v>
      </c>
      <c r="N20" s="68">
        <f>'[4]Мероприятия пп 2'!$R$152</f>
        <v>96354.7</v>
      </c>
      <c r="O20" s="68">
        <f t="shared" si="4"/>
        <v>1098350.3999999999</v>
      </c>
    </row>
    <row r="21" spans="1:15" ht="15.75" x14ac:dyDescent="0.2">
      <c r="A21" s="75"/>
      <c r="B21" s="44"/>
      <c r="C21" s="67" t="s">
        <v>65</v>
      </c>
      <c r="D21" s="71">
        <v>1824.6</v>
      </c>
      <c r="E21" s="68">
        <v>2151.3000000000002</v>
      </c>
      <c r="F21" s="72">
        <v>2292.8000000000002</v>
      </c>
      <c r="G21" s="73">
        <v>2292.8000000000002</v>
      </c>
      <c r="H21" s="73">
        <v>3110.3</v>
      </c>
      <c r="I21" s="72">
        <v>5682</v>
      </c>
      <c r="J21" s="72">
        <v>6813.2</v>
      </c>
      <c r="K21" s="72">
        <v>2694.3</v>
      </c>
      <c r="L21" s="68">
        <f>'[4]Мероприятия пп 2'!$P$153</f>
        <v>2867</v>
      </c>
      <c r="M21" s="68">
        <f>'[4]Мероприятия пп 2'!$Q$153</f>
        <v>1942.7</v>
      </c>
      <c r="N21" s="68">
        <f>'[4]Мероприятия пп 2'!$R$153</f>
        <v>1942.7</v>
      </c>
      <c r="O21" s="68">
        <f t="shared" si="4"/>
        <v>33613.699999999997</v>
      </c>
    </row>
    <row r="22" spans="1:15" ht="15.75" customHeight="1" x14ac:dyDescent="0.2">
      <c r="A22" s="40" t="s">
        <v>29</v>
      </c>
      <c r="B22" s="41" t="s">
        <v>30</v>
      </c>
      <c r="C22" s="67" t="s">
        <v>52</v>
      </c>
      <c r="D22" s="68">
        <f t="shared" ref="D22:I22" si="6">D24+D25+D26</f>
        <v>6990.7000000000007</v>
      </c>
      <c r="E22" s="68">
        <f t="shared" si="6"/>
        <v>7764.9</v>
      </c>
      <c r="F22" s="68">
        <f t="shared" si="6"/>
        <v>7414.4</v>
      </c>
      <c r="G22" s="69">
        <f t="shared" si="6"/>
        <v>8058.2999999999993</v>
      </c>
      <c r="H22" s="69">
        <f>H24+H25+H26</f>
        <v>7980.7999999999993</v>
      </c>
      <c r="I22" s="68">
        <f t="shared" si="6"/>
        <v>8394.1</v>
      </c>
      <c r="J22" s="68">
        <f>J24+J25+J26</f>
        <v>0</v>
      </c>
      <c r="K22" s="68">
        <f>K24+K25+K26</f>
        <v>9059.7000000000007</v>
      </c>
      <c r="L22" s="68">
        <f>L24+L25+L26</f>
        <v>8811.4</v>
      </c>
      <c r="M22" s="68">
        <f>M24+M25+M26</f>
        <v>9023.5</v>
      </c>
      <c r="N22" s="68">
        <f>M22</f>
        <v>9023.5</v>
      </c>
      <c r="O22" s="68">
        <f t="shared" si="4"/>
        <v>82521.299999999988</v>
      </c>
    </row>
    <row r="23" spans="1:15" ht="15.75" x14ac:dyDescent="0.2">
      <c r="A23" s="42"/>
      <c r="B23" s="43"/>
      <c r="C23" s="70" t="s">
        <v>53</v>
      </c>
      <c r="D23" s="71"/>
      <c r="E23" s="68"/>
      <c r="F23" s="72"/>
      <c r="G23" s="73"/>
      <c r="H23" s="73"/>
      <c r="I23" s="72"/>
      <c r="J23" s="72"/>
      <c r="K23" s="72"/>
      <c r="L23" s="68">
        <f>K23</f>
        <v>0</v>
      </c>
      <c r="M23" s="68"/>
      <c r="N23" s="68">
        <f>M23</f>
        <v>0</v>
      </c>
      <c r="O23" s="68">
        <f t="shared" si="4"/>
        <v>0</v>
      </c>
    </row>
    <row r="24" spans="1:15" ht="15.75" x14ac:dyDescent="0.2">
      <c r="A24" s="42"/>
      <c r="B24" s="43"/>
      <c r="C24" s="74" t="s">
        <v>55</v>
      </c>
      <c r="D24" s="71">
        <v>4599.6000000000004</v>
      </c>
      <c r="E24" s="68">
        <v>4788.3999999999996</v>
      </c>
      <c r="F24" s="72">
        <v>4560.6000000000004</v>
      </c>
      <c r="G24" s="73">
        <v>4565.7</v>
      </c>
      <c r="H24" s="73">
        <v>5116.3999999999996</v>
      </c>
      <c r="I24" s="72">
        <v>5258.7</v>
      </c>
      <c r="J24" s="72">
        <v>0</v>
      </c>
      <c r="K24" s="72">
        <v>6598.4</v>
      </c>
      <c r="L24" s="72">
        <f>'[5]Мероприятия пп 3'!$P$36</f>
        <v>8811.4</v>
      </c>
      <c r="M24" s="72">
        <f>'[5]Мероприятия пп 3'!$Q$36</f>
        <v>7391.5</v>
      </c>
      <c r="N24" s="68">
        <f>'[5]Мероприятия пп 3'!$R$36</f>
        <v>7391.5</v>
      </c>
      <c r="O24" s="68">
        <f t="shared" si="4"/>
        <v>59082.2</v>
      </c>
    </row>
    <row r="25" spans="1:15" ht="15.75" x14ac:dyDescent="0.2">
      <c r="A25" s="42"/>
      <c r="B25" s="43"/>
      <c r="C25" s="74" t="s">
        <v>56</v>
      </c>
      <c r="D25" s="71">
        <v>1858.1</v>
      </c>
      <c r="E25" s="68">
        <v>2271.3000000000002</v>
      </c>
      <c r="F25" s="68">
        <v>2162.4</v>
      </c>
      <c r="G25" s="69">
        <v>2801.2</v>
      </c>
      <c r="H25" s="69">
        <v>2173</v>
      </c>
      <c r="I25" s="68">
        <v>2354.1999999999998</v>
      </c>
      <c r="J25" s="68">
        <v>0</v>
      </c>
      <c r="K25" s="68">
        <v>2461.3000000000002</v>
      </c>
      <c r="L25" s="68">
        <v>0</v>
      </c>
      <c r="M25" s="72">
        <f>'[5]Мероприятия пп 3'!$Q$37</f>
        <v>1632</v>
      </c>
      <c r="N25" s="68">
        <f>'[5]Мероприятия пп 3'!$R$37</f>
        <v>1632</v>
      </c>
      <c r="O25" s="68">
        <f t="shared" si="4"/>
        <v>19345.5</v>
      </c>
    </row>
    <row r="26" spans="1:15" ht="31.5" x14ac:dyDescent="0.2">
      <c r="A26" s="75"/>
      <c r="B26" s="44"/>
      <c r="C26" s="74" t="s">
        <v>57</v>
      </c>
      <c r="D26" s="71">
        <v>533</v>
      </c>
      <c r="E26" s="68">
        <v>705.2</v>
      </c>
      <c r="F26" s="72">
        <v>691.4</v>
      </c>
      <c r="G26" s="73">
        <v>691.4</v>
      </c>
      <c r="H26" s="73">
        <v>691.4</v>
      </c>
      <c r="I26" s="72">
        <v>781.2</v>
      </c>
      <c r="J26" s="72">
        <v>0</v>
      </c>
      <c r="K26" s="72">
        <v>0</v>
      </c>
      <c r="L26" s="72">
        <v>0</v>
      </c>
      <c r="M26" s="72">
        <f>L26</f>
        <v>0</v>
      </c>
      <c r="N26" s="68">
        <f>M26</f>
        <v>0</v>
      </c>
      <c r="O26" s="68">
        <f t="shared" si="4"/>
        <v>4093.6000000000004</v>
      </c>
    </row>
    <row r="27" spans="1:15" ht="15.75" customHeight="1" x14ac:dyDescent="0.2">
      <c r="A27" s="40" t="s">
        <v>31</v>
      </c>
      <c r="B27" s="41" t="s">
        <v>32</v>
      </c>
      <c r="C27" s="67" t="s">
        <v>52</v>
      </c>
      <c r="D27" s="68">
        <f t="shared" ref="D27:I27" si="7">D30+D31+D32</f>
        <v>28125.4</v>
      </c>
      <c r="E27" s="68">
        <f t="shared" si="7"/>
        <v>29557</v>
      </c>
      <c r="F27" s="68">
        <f t="shared" si="7"/>
        <v>32395.199999999997</v>
      </c>
      <c r="G27" s="69">
        <f t="shared" si="7"/>
        <v>33800</v>
      </c>
      <c r="H27" s="69">
        <f t="shared" si="7"/>
        <v>36181.300000000003</v>
      </c>
      <c r="I27" s="68">
        <f t="shared" si="7"/>
        <v>44408.899999999994</v>
      </c>
      <c r="J27" s="68">
        <f>J30+J31+J32</f>
        <v>59607.7</v>
      </c>
      <c r="K27" s="68">
        <f>K30+K31+K32+K29</f>
        <v>56741.899999999994</v>
      </c>
      <c r="L27" s="68">
        <f>L28+L30+L31+L29</f>
        <v>86422.2</v>
      </c>
      <c r="M27" s="68">
        <f>M28+M30+M31+M29</f>
        <v>71282</v>
      </c>
      <c r="N27" s="68">
        <f>N28+N30+N31+N29</f>
        <v>65278.5</v>
      </c>
      <c r="O27" s="68">
        <f t="shared" si="4"/>
        <v>543800.10000000009</v>
      </c>
    </row>
    <row r="28" spans="1:15" ht="15.75" x14ac:dyDescent="0.2">
      <c r="A28" s="42"/>
      <c r="B28" s="43"/>
      <c r="C28" s="70" t="s">
        <v>53</v>
      </c>
      <c r="D28" s="71"/>
      <c r="E28" s="68"/>
      <c r="F28" s="72"/>
      <c r="G28" s="73"/>
      <c r="H28" s="73"/>
      <c r="I28" s="72"/>
      <c r="J28" s="72"/>
      <c r="K28" s="72"/>
      <c r="L28" s="68"/>
      <c r="M28" s="68"/>
      <c r="N28" s="68">
        <f>M28</f>
        <v>0</v>
      </c>
      <c r="O28" s="68">
        <f t="shared" si="4"/>
        <v>0</v>
      </c>
    </row>
    <row r="29" spans="1:15" ht="15.75" x14ac:dyDescent="0.2">
      <c r="A29" s="42"/>
      <c r="B29" s="43"/>
      <c r="C29" s="74" t="s">
        <v>54</v>
      </c>
      <c r="D29" s="71"/>
      <c r="E29" s="68"/>
      <c r="F29" s="72"/>
      <c r="G29" s="73"/>
      <c r="H29" s="73"/>
      <c r="I29" s="72"/>
      <c r="J29" s="72"/>
      <c r="K29" s="72">
        <f>3555.7-3473.3-82.4</f>
        <v>-3.694822225952521E-13</v>
      </c>
      <c r="L29" s="68">
        <f>'[3]Приложение 2'!$P$62</f>
        <v>920</v>
      </c>
      <c r="M29" s="68">
        <f>'[3]Приложение 2'!$Q$62</f>
        <v>8525.1</v>
      </c>
      <c r="N29" s="68">
        <f>'[3]Приложение 2'!$R$62</f>
        <v>8525.1</v>
      </c>
      <c r="O29" s="68">
        <f t="shared" si="4"/>
        <v>17970.2</v>
      </c>
    </row>
    <row r="30" spans="1:15" ht="15.75" x14ac:dyDescent="0.2">
      <c r="A30" s="42"/>
      <c r="B30" s="43"/>
      <c r="C30" s="74" t="s">
        <v>55</v>
      </c>
      <c r="D30" s="71">
        <v>8588.7000000000007</v>
      </c>
      <c r="E30" s="68">
        <v>8527.5</v>
      </c>
      <c r="F30" s="72">
        <v>10590.4</v>
      </c>
      <c r="G30" s="73">
        <v>10286.6</v>
      </c>
      <c r="H30" s="73">
        <v>12950.5</v>
      </c>
      <c r="I30" s="72">
        <v>12440.3</v>
      </c>
      <c r="J30" s="72">
        <v>19788.7</v>
      </c>
      <c r="K30" s="72">
        <v>8082.1</v>
      </c>
      <c r="L30" s="68">
        <f>'[3]Приложение 2'!$P$63</f>
        <v>28999</v>
      </c>
      <c r="M30" s="68">
        <f>'[3]Приложение 2'!$Q$63</f>
        <v>12007</v>
      </c>
      <c r="N30" s="68">
        <f>'[3]Приложение 2'!$R$63</f>
        <v>6003.5</v>
      </c>
      <c r="O30" s="68">
        <f t="shared" si="4"/>
        <v>138264.29999999999</v>
      </c>
    </row>
    <row r="31" spans="1:15" ht="15.75" x14ac:dyDescent="0.2">
      <c r="A31" s="42"/>
      <c r="B31" s="43"/>
      <c r="C31" s="74" t="s">
        <v>56</v>
      </c>
      <c r="D31" s="71">
        <v>19536.7</v>
      </c>
      <c r="E31" s="68">
        <v>21029.5</v>
      </c>
      <c r="F31" s="68">
        <v>21804.799999999999</v>
      </c>
      <c r="G31" s="69">
        <v>23513.4</v>
      </c>
      <c r="H31" s="69">
        <v>23230.799999999999</v>
      </c>
      <c r="I31" s="68">
        <v>31968.6</v>
      </c>
      <c r="J31" s="68">
        <v>39819</v>
      </c>
      <c r="K31" s="68">
        <f>26618.3+22041.3+0.2</f>
        <v>48659.799999999996</v>
      </c>
      <c r="L31" s="68">
        <f>'[3]Приложение 2'!$P$64</f>
        <v>56503.199999999997</v>
      </c>
      <c r="M31" s="68">
        <f>'[3]Приложение 2'!$Q$64</f>
        <v>50749.9</v>
      </c>
      <c r="N31" s="68">
        <f>'[3]Приложение 2'!$R$64</f>
        <v>50749.9</v>
      </c>
      <c r="O31" s="68">
        <f t="shared" si="4"/>
        <v>387565.60000000003</v>
      </c>
    </row>
    <row r="32" spans="1:15" ht="15" customHeight="1" x14ac:dyDescent="0.2">
      <c r="A32" s="75"/>
      <c r="B32" s="44"/>
      <c r="C32" s="74" t="s">
        <v>57</v>
      </c>
      <c r="D32" s="71">
        <v>0</v>
      </c>
      <c r="E32" s="68">
        <v>0</v>
      </c>
      <c r="F32" s="72">
        <v>0</v>
      </c>
      <c r="G32" s="73">
        <v>0</v>
      </c>
      <c r="H32" s="73">
        <v>0</v>
      </c>
      <c r="I32" s="72">
        <v>0</v>
      </c>
      <c r="J32" s="72">
        <v>0</v>
      </c>
      <c r="K32" s="72">
        <v>0</v>
      </c>
      <c r="L32" s="68">
        <f>K32</f>
        <v>0</v>
      </c>
      <c r="M32" s="68">
        <f>L32</f>
        <v>0</v>
      </c>
      <c r="N32" s="68">
        <f>M32</f>
        <v>0</v>
      </c>
      <c r="O32" s="68">
        <f t="shared" si="4"/>
        <v>0</v>
      </c>
    </row>
    <row r="33" spans="1:16" s="53" customFormat="1" ht="30.75" customHeight="1" x14ac:dyDescent="0.25">
      <c r="A33" s="77" t="s">
        <v>66</v>
      </c>
      <c r="B33" s="77"/>
      <c r="C33" s="78"/>
      <c r="D33" s="78"/>
      <c r="E33" s="79"/>
      <c r="F33" s="80"/>
      <c r="G33" s="81" t="s">
        <v>34</v>
      </c>
      <c r="H33" s="81"/>
      <c r="I33" s="81"/>
      <c r="J33" s="81"/>
      <c r="K33" s="81"/>
      <c r="L33" s="81"/>
      <c r="M33" s="81"/>
      <c r="N33" s="81"/>
      <c r="O33" s="81"/>
      <c r="P33" s="82"/>
    </row>
    <row r="138" spans="18:18" ht="105" customHeight="1" x14ac:dyDescent="0.25">
      <c r="R138" s="53"/>
    </row>
  </sheetData>
  <mergeCells count="18">
    <mergeCell ref="A22:A26"/>
    <mergeCell ref="B22:B26"/>
    <mergeCell ref="A27:A32"/>
    <mergeCell ref="B27:B32"/>
    <mergeCell ref="G33:O33"/>
    <mergeCell ref="A5:A10"/>
    <mergeCell ref="B5:B10"/>
    <mergeCell ref="A11:A15"/>
    <mergeCell ref="B11:B15"/>
    <mergeCell ref="A16:A21"/>
    <mergeCell ref="B16:B21"/>
    <mergeCell ref="L1:O1"/>
    <mergeCell ref="Y1:AD1"/>
    <mergeCell ref="A2:O2"/>
    <mergeCell ref="A3:A4"/>
    <mergeCell ref="B3:B4"/>
    <mergeCell ref="C3:C4"/>
    <mergeCell ref="D3:O3"/>
  </mergeCells>
  <printOptions horizontalCentered="1"/>
  <pageMargins left="0.15748031496062992" right="0.15748031496062992" top="0.78740157480314965" bottom="0" header="0.31496062992125984" footer="0.31496062992125984"/>
  <pageSetup paperSize="9" scale="56" orientation="landscape" useFirstPageNumber="1" r:id="rId1"/>
  <headerFooter differentFirst="1">
    <oddHeader>&amp;C&amp;P</oddHeader>
  </headerFooter>
  <rowBreaks count="1" manualBreakCount="1">
    <brk id="21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5"/>
  <sheetViews>
    <sheetView view="pageBreakPreview" zoomScaleNormal="100" zoomScaleSheetLayoutView="100" workbookViewId="0">
      <selection activeCell="A15" sqref="A15:T15"/>
    </sheetView>
  </sheetViews>
  <sheetFormatPr defaultRowHeight="15.75" x14ac:dyDescent="0.25"/>
  <cols>
    <col min="1" max="1" width="46.42578125" style="53" customWidth="1"/>
    <col min="2" max="12" width="9.140625" style="53" customWidth="1"/>
    <col min="13" max="13" width="10.28515625" style="53" customWidth="1"/>
    <col min="14" max="14" width="9.5703125" style="53" customWidth="1"/>
    <col min="15" max="15" width="10.140625" style="53" customWidth="1"/>
    <col min="16" max="18" width="10.7109375" style="53" customWidth="1"/>
    <col min="19" max="19" width="11.5703125" style="53" customWidth="1"/>
    <col min="20" max="20" width="12.85546875" style="53" customWidth="1"/>
    <col min="21" max="21" width="11" style="53" customWidth="1"/>
    <col min="22" max="23" width="12.28515625" style="53" customWidth="1"/>
    <col min="24" max="24" width="18.5703125" style="53" hidden="1" customWidth="1"/>
    <col min="25" max="25" width="17.7109375" style="53" hidden="1" customWidth="1"/>
    <col min="26" max="26" width="9.140625" style="53" hidden="1" customWidth="1"/>
    <col min="27" max="27" width="13.85546875" style="53" hidden="1" customWidth="1"/>
    <col min="28" max="28" width="9.28515625" style="53" hidden="1" customWidth="1"/>
    <col min="29" max="29" width="19.42578125" style="53" customWidth="1"/>
    <col min="30" max="30" width="9.5703125" style="53" bestFit="1" customWidth="1"/>
    <col min="31" max="31" width="11.28515625" style="53" bestFit="1" customWidth="1"/>
    <col min="32" max="32" width="11.140625" style="53" bestFit="1" customWidth="1"/>
    <col min="33" max="16384" width="9.140625" style="53"/>
  </cols>
  <sheetData>
    <row r="1" spans="1:32" ht="71.25" customHeight="1" x14ac:dyDescent="0.25">
      <c r="M1" s="83" t="s">
        <v>67</v>
      </c>
      <c r="N1" s="83"/>
      <c r="O1" s="83"/>
      <c r="P1" s="83"/>
      <c r="Q1" s="83"/>
      <c r="R1" s="83"/>
      <c r="S1" s="83"/>
      <c r="T1" s="83"/>
      <c r="U1" s="83"/>
      <c r="V1" s="83"/>
      <c r="W1" s="83"/>
    </row>
    <row r="2" spans="1:32" s="84" customFormat="1" ht="34.5" customHeight="1" x14ac:dyDescent="0.2">
      <c r="A2" s="61" t="s">
        <v>68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spans="1:32" ht="35.25" customHeight="1" x14ac:dyDescent="0.25">
      <c r="A3" s="50" t="s">
        <v>69</v>
      </c>
      <c r="B3" s="85" t="s">
        <v>70</v>
      </c>
      <c r="C3" s="86"/>
      <c r="D3" s="86"/>
      <c r="E3" s="86"/>
      <c r="F3" s="86"/>
      <c r="G3" s="86"/>
      <c r="H3" s="86"/>
      <c r="I3" s="86"/>
      <c r="J3" s="86"/>
      <c r="K3" s="86"/>
      <c r="L3" s="87"/>
      <c r="M3" s="88" t="s">
        <v>71</v>
      </c>
      <c r="N3" s="89"/>
      <c r="O3" s="89"/>
      <c r="P3" s="89"/>
      <c r="Q3" s="89"/>
      <c r="R3" s="89"/>
      <c r="S3" s="89"/>
      <c r="T3" s="89"/>
      <c r="U3" s="89"/>
    </row>
    <row r="4" spans="1:32" ht="31.5" x14ac:dyDescent="0.25">
      <c r="A4" s="50"/>
      <c r="B4" s="12" t="s">
        <v>41</v>
      </c>
      <c r="C4" s="12" t="s">
        <v>42</v>
      </c>
      <c r="D4" s="12" t="s">
        <v>43</v>
      </c>
      <c r="E4" s="12" t="s">
        <v>44</v>
      </c>
      <c r="F4" s="12" t="s">
        <v>45</v>
      </c>
      <c r="G4" s="12" t="s">
        <v>46</v>
      </c>
      <c r="H4" s="12" t="s">
        <v>47</v>
      </c>
      <c r="I4" s="12" t="s">
        <v>48</v>
      </c>
      <c r="J4" s="12" t="s">
        <v>49</v>
      </c>
      <c r="K4" s="12" t="s">
        <v>50</v>
      </c>
      <c r="L4" s="12" t="s">
        <v>51</v>
      </c>
      <c r="M4" s="12" t="s">
        <v>41</v>
      </c>
      <c r="N4" s="12" t="s">
        <v>42</v>
      </c>
      <c r="O4" s="12" t="s">
        <v>43</v>
      </c>
      <c r="P4" s="12" t="s">
        <v>44</v>
      </c>
      <c r="Q4" s="12" t="s">
        <v>45</v>
      </c>
      <c r="R4" s="12" t="s">
        <v>46</v>
      </c>
      <c r="S4" s="12" t="s">
        <v>47</v>
      </c>
      <c r="T4" s="12" t="s">
        <v>48</v>
      </c>
      <c r="U4" s="12" t="s">
        <v>49</v>
      </c>
      <c r="V4" s="12" t="s">
        <v>50</v>
      </c>
      <c r="W4" s="12" t="s">
        <v>51</v>
      </c>
    </row>
    <row r="5" spans="1:32" x14ac:dyDescent="0.25">
      <c r="A5" s="90" t="s">
        <v>72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2"/>
      <c r="V5" s="92"/>
      <c r="W5" s="93"/>
    </row>
    <row r="6" spans="1:32" x14ac:dyDescent="0.25">
      <c r="A6" s="37" t="s">
        <v>73</v>
      </c>
      <c r="B6" s="94" t="s">
        <v>74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2"/>
      <c r="V6" s="92"/>
      <c r="W6" s="93"/>
    </row>
    <row r="7" spans="1:32" x14ac:dyDescent="0.25">
      <c r="A7" s="96" t="s">
        <v>75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2"/>
      <c r="V7" s="92"/>
      <c r="W7" s="93"/>
    </row>
    <row r="8" spans="1:32" ht="31.5" x14ac:dyDescent="0.25">
      <c r="A8" s="30" t="s">
        <v>76</v>
      </c>
      <c r="B8" s="34">
        <v>1264</v>
      </c>
      <c r="C8" s="34">
        <v>1687</v>
      </c>
      <c r="D8" s="34">
        <v>1731</v>
      </c>
      <c r="E8" s="34">
        <v>1673</v>
      </c>
      <c r="F8" s="34">
        <v>1753</v>
      </c>
      <c r="G8" s="34">
        <v>1753</v>
      </c>
      <c r="H8" s="34">
        <f>(1741+1617)/2</f>
        <v>1679</v>
      </c>
      <c r="I8" s="34">
        <v>1617</v>
      </c>
      <c r="J8" s="34">
        <v>1489</v>
      </c>
      <c r="K8" s="34">
        <v>1489</v>
      </c>
      <c r="L8" s="34">
        <v>1489</v>
      </c>
      <c r="M8" s="98">
        <v>110039.9</v>
      </c>
      <c r="N8" s="34">
        <v>115982.1</v>
      </c>
      <c r="O8" s="98">
        <v>189224.3</v>
      </c>
      <c r="P8" s="98">
        <f>165397.3+24524.8</f>
        <v>189922.09999999998</v>
      </c>
      <c r="Q8" s="98">
        <v>229336.9</v>
      </c>
      <c r="R8" s="98">
        <v>267495.40000000002</v>
      </c>
      <c r="S8" s="98">
        <v>275550.40000000002</v>
      </c>
      <c r="T8" s="98">
        <v>310856.8</v>
      </c>
      <c r="U8" s="98">
        <v>341616.7</v>
      </c>
      <c r="V8" s="98">
        <v>308975.59999999998</v>
      </c>
      <c r="W8" s="98">
        <v>308975.59999999998</v>
      </c>
      <c r="AC8" s="99" t="s">
        <v>77</v>
      </c>
    </row>
    <row r="9" spans="1:32" x14ac:dyDescent="0.25">
      <c r="A9" s="90" t="s">
        <v>78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2"/>
      <c r="V9" s="92"/>
      <c r="W9" s="93"/>
      <c r="AC9" s="99"/>
    </row>
    <row r="10" spans="1:32" x14ac:dyDescent="0.25">
      <c r="A10" s="37" t="s">
        <v>73</v>
      </c>
      <c r="B10" s="94" t="s">
        <v>79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2"/>
      <c r="V10" s="92"/>
      <c r="W10" s="93"/>
      <c r="AC10" s="99"/>
    </row>
    <row r="11" spans="1:32" x14ac:dyDescent="0.25">
      <c r="A11" s="96" t="s">
        <v>80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2"/>
      <c r="V11" s="92"/>
      <c r="W11" s="93"/>
      <c r="Z11" s="53">
        <v>2021</v>
      </c>
      <c r="AA11" s="100">
        <f>T12+T16+T20</f>
        <v>291978.10000000003</v>
      </c>
      <c r="AC11" s="99"/>
    </row>
    <row r="12" spans="1:32" ht="31.5" x14ac:dyDescent="0.25">
      <c r="A12" s="30" t="s">
        <v>76</v>
      </c>
      <c r="B12" s="34">
        <v>1265</v>
      </c>
      <c r="C12" s="34">
        <v>1233</v>
      </c>
      <c r="D12" s="34">
        <v>1194</v>
      </c>
      <c r="E12" s="34">
        <v>1267</v>
      </c>
      <c r="F12" s="34">
        <v>1351</v>
      </c>
      <c r="G12" s="34">
        <v>1351</v>
      </c>
      <c r="H12" s="34">
        <v>1409</v>
      </c>
      <c r="I12" s="34">
        <v>1466</v>
      </c>
      <c r="J12" s="34">
        <v>1431</v>
      </c>
      <c r="K12" s="34">
        <v>1466</v>
      </c>
      <c r="L12" s="34">
        <v>1466</v>
      </c>
      <c r="M12" s="34">
        <v>58719.245999999999</v>
      </c>
      <c r="N12" s="34">
        <v>61890.1</v>
      </c>
      <c r="O12" s="98">
        <v>56463.8</v>
      </c>
      <c r="P12" s="98">
        <v>108873.3</v>
      </c>
      <c r="Q12" s="98">
        <f>70.55*F12</f>
        <v>95313.05</v>
      </c>
      <c r="R12" s="98">
        <f>82.468081*1351</f>
        <v>111414.377431</v>
      </c>
      <c r="S12" s="98">
        <f>81.4854983*H12</f>
        <v>114813.06710470001</v>
      </c>
      <c r="T12" s="98">
        <v>130103.3</v>
      </c>
      <c r="U12" s="98">
        <f>AF12</f>
        <v>135484.49021911685</v>
      </c>
      <c r="V12" s="98">
        <v>116394</v>
      </c>
      <c r="W12" s="98">
        <v>116394</v>
      </c>
      <c r="X12" s="100">
        <f>S12+S16+S20</f>
        <v>264094.49999030004</v>
      </c>
      <c r="Y12" s="53">
        <v>2020</v>
      </c>
      <c r="AA12" s="101">
        <f>293953.6/3290</f>
        <v>89.347598784194517</v>
      </c>
      <c r="AB12" s="100"/>
      <c r="AC12" s="99" t="s">
        <v>81</v>
      </c>
      <c r="AE12" s="102">
        <v>308745578.33999997</v>
      </c>
      <c r="AF12" s="53">
        <f>AE14*J12/1000</f>
        <v>135484.49021911685</v>
      </c>
    </row>
    <row r="13" spans="1:32" x14ac:dyDescent="0.25">
      <c r="A13" s="90" t="s">
        <v>82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2"/>
      <c r="V13" s="92"/>
      <c r="W13" s="93"/>
      <c r="X13" s="100">
        <f>T12+T16+T20</f>
        <v>291978.10000000003</v>
      </c>
      <c r="Y13" s="53">
        <v>2021</v>
      </c>
      <c r="AB13" s="100"/>
      <c r="AC13" s="99"/>
      <c r="AD13" s="100"/>
      <c r="AE13" s="53">
        <f>J12+J16+J20</f>
        <v>3261</v>
      </c>
    </row>
    <row r="14" spans="1:32" x14ac:dyDescent="0.25">
      <c r="A14" s="37" t="s">
        <v>73</v>
      </c>
      <c r="B14" s="94" t="s">
        <v>83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2"/>
      <c r="V14" s="92"/>
      <c r="W14" s="93"/>
      <c r="X14" s="100"/>
      <c r="Z14" s="53">
        <v>2022</v>
      </c>
      <c r="AA14" s="100">
        <f>U12+U16+U20</f>
        <v>308745.57834000001</v>
      </c>
      <c r="AB14" s="100"/>
      <c r="AC14" s="99"/>
      <c r="AE14" s="53">
        <f>AE12/AE13</f>
        <v>94678.190229990796</v>
      </c>
    </row>
    <row r="15" spans="1:32" x14ac:dyDescent="0.25">
      <c r="A15" s="96" t="s">
        <v>80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2"/>
      <c r="V15" s="92"/>
      <c r="W15" s="93"/>
      <c r="X15" s="100">
        <v>282458.5</v>
      </c>
      <c r="Y15" s="53">
        <v>2022</v>
      </c>
      <c r="AA15" s="101">
        <f>282458.5/3290</f>
        <v>85.853647416413381</v>
      </c>
      <c r="AC15" s="99"/>
    </row>
    <row r="16" spans="1:32" ht="31.5" x14ac:dyDescent="0.25">
      <c r="A16" s="30" t="s">
        <v>76</v>
      </c>
      <c r="B16" s="12">
        <v>1284</v>
      </c>
      <c r="C16" s="12">
        <v>1377</v>
      </c>
      <c r="D16" s="12">
        <v>1433</v>
      </c>
      <c r="E16" s="12">
        <v>1086</v>
      </c>
      <c r="F16" s="12">
        <v>1419</v>
      </c>
      <c r="G16" s="12">
        <v>1419</v>
      </c>
      <c r="H16" s="12">
        <v>1450</v>
      </c>
      <c r="I16" s="12">
        <v>1471</v>
      </c>
      <c r="J16" s="12">
        <v>1547</v>
      </c>
      <c r="K16" s="12">
        <v>1471</v>
      </c>
      <c r="L16" s="12">
        <v>1471</v>
      </c>
      <c r="M16" s="98">
        <v>59652</v>
      </c>
      <c r="N16" s="34">
        <v>62873.2</v>
      </c>
      <c r="O16" s="34">
        <v>82739.399999999994</v>
      </c>
      <c r="P16" s="98">
        <v>93320</v>
      </c>
      <c r="Q16" s="98">
        <f>70.55*F16</f>
        <v>100110.45</v>
      </c>
      <c r="R16" s="98">
        <f>82.468081*1419</f>
        <v>117022.206939</v>
      </c>
      <c r="S16" s="34">
        <f>81.4854983*H16</f>
        <v>118153.97253500001</v>
      </c>
      <c r="T16" s="98">
        <v>130547.1</v>
      </c>
      <c r="U16" s="98">
        <f>AF16</f>
        <v>146467.16028579575</v>
      </c>
      <c r="V16" s="98">
        <v>116791</v>
      </c>
      <c r="W16" s="98">
        <v>116791</v>
      </c>
      <c r="X16" s="100">
        <f>V12+V16+V20</f>
        <v>261211.7</v>
      </c>
      <c r="Y16" s="53">
        <v>2023</v>
      </c>
      <c r="AC16" s="99" t="s">
        <v>84</v>
      </c>
      <c r="AF16" s="53">
        <f>J16*AE14/1000</f>
        <v>146467.16028579575</v>
      </c>
    </row>
    <row r="17" spans="1:32" x14ac:dyDescent="0.25">
      <c r="A17" s="90" t="s">
        <v>85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2"/>
      <c r="V17" s="92"/>
      <c r="W17" s="93"/>
      <c r="AC17" s="99"/>
    </row>
    <row r="18" spans="1:32" x14ac:dyDescent="0.25">
      <c r="A18" s="37" t="s">
        <v>73</v>
      </c>
      <c r="B18" s="94" t="s">
        <v>86</v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103"/>
      <c r="V18" s="92"/>
      <c r="W18" s="93"/>
      <c r="Y18" s="104"/>
      <c r="Z18" s="53">
        <v>2023</v>
      </c>
      <c r="AA18" s="100">
        <f>V12+V16+V20</f>
        <v>261211.7</v>
      </c>
      <c r="AC18" s="99"/>
    </row>
    <row r="19" spans="1:32" x14ac:dyDescent="0.25">
      <c r="A19" s="96" t="s">
        <v>80</v>
      </c>
      <c r="B19" s="97">
        <v>338</v>
      </c>
      <c r="C19" s="97">
        <v>309</v>
      </c>
      <c r="D19" s="97">
        <v>277</v>
      </c>
      <c r="E19" s="97">
        <v>270</v>
      </c>
      <c r="F19" s="97">
        <v>388</v>
      </c>
      <c r="G19" s="97">
        <v>388</v>
      </c>
      <c r="H19" s="97">
        <v>388</v>
      </c>
      <c r="I19" s="97"/>
      <c r="J19" s="97"/>
      <c r="K19" s="97"/>
      <c r="L19" s="97"/>
      <c r="M19" s="97">
        <v>14085.156999999999</v>
      </c>
      <c r="N19" s="97">
        <v>14845.7</v>
      </c>
      <c r="O19" s="97">
        <v>16243.5</v>
      </c>
      <c r="P19" s="97">
        <f>23201.1-13.98</f>
        <v>23187.119999999999</v>
      </c>
      <c r="Q19" s="97">
        <f>70.55*F19-3.5</f>
        <v>27369.899999999998</v>
      </c>
      <c r="R19" s="97">
        <f>66.55*G19+49.5</f>
        <v>25870.899999999998</v>
      </c>
      <c r="S19" s="97">
        <f>R19</f>
        <v>25870.899999999998</v>
      </c>
      <c r="T19" s="97">
        <f>S19</f>
        <v>25870.899999999998</v>
      </c>
      <c r="U19" s="92"/>
      <c r="V19" s="92"/>
      <c r="W19" s="93"/>
      <c r="AA19" s="53">
        <f>286007.7/3290</f>
        <v>86.93243161094226</v>
      </c>
      <c r="AC19" s="99"/>
      <c r="AD19" s="99"/>
    </row>
    <row r="20" spans="1:32" ht="31.5" x14ac:dyDescent="0.25">
      <c r="A20" s="30" t="s">
        <v>76</v>
      </c>
      <c r="B20" s="34">
        <v>338</v>
      </c>
      <c r="C20" s="34">
        <v>309</v>
      </c>
      <c r="D20" s="34">
        <v>277</v>
      </c>
      <c r="E20" s="34">
        <v>270</v>
      </c>
      <c r="F20" s="34">
        <v>388</v>
      </c>
      <c r="G20" s="34">
        <v>388</v>
      </c>
      <c r="H20" s="34">
        <v>382</v>
      </c>
      <c r="I20" s="34">
        <v>353</v>
      </c>
      <c r="J20" s="34">
        <v>283</v>
      </c>
      <c r="K20" s="34">
        <v>353</v>
      </c>
      <c r="L20" s="34">
        <v>353</v>
      </c>
      <c r="M20" s="34">
        <v>14085.156999999999</v>
      </c>
      <c r="N20" s="34">
        <v>14845.7</v>
      </c>
      <c r="O20" s="98">
        <v>16243.5</v>
      </c>
      <c r="P20" s="98">
        <f>23201.1-13.98</f>
        <v>23187.119999999999</v>
      </c>
      <c r="Q20" s="98">
        <f>70.55*F20-3.5</f>
        <v>27369.899999999998</v>
      </c>
      <c r="R20" s="98">
        <v>33657</v>
      </c>
      <c r="S20" s="34">
        <f>81.4854983*H20</f>
        <v>31127.460350600002</v>
      </c>
      <c r="T20" s="98">
        <v>31327.7</v>
      </c>
      <c r="U20" s="98">
        <f>AF20/1000</f>
        <v>26793.927835087397</v>
      </c>
      <c r="V20" s="98">
        <v>28026.7</v>
      </c>
      <c r="W20" s="98">
        <v>28026.7</v>
      </c>
      <c r="X20" s="104">
        <v>302122.90000000002</v>
      </c>
      <c r="Y20" s="105">
        <f>X20/3290</f>
        <v>91.83066869300913</v>
      </c>
      <c r="Z20" s="53">
        <v>2021</v>
      </c>
      <c r="AC20" s="99" t="s">
        <v>84</v>
      </c>
      <c r="AF20" s="53">
        <f>J20*AE14</f>
        <v>26793927.835087396</v>
      </c>
    </row>
    <row r="21" spans="1:32" x14ac:dyDescent="0.25">
      <c r="A21" s="90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103"/>
      <c r="V21" s="103"/>
      <c r="W21" s="106"/>
      <c r="X21" s="53">
        <f>320023.2-37564.1</f>
        <v>282459.10000000003</v>
      </c>
      <c r="Y21" s="105">
        <f>X21/3290</f>
        <v>85.853829787234048</v>
      </c>
      <c r="Z21" s="53">
        <v>2022</v>
      </c>
      <c r="AC21" s="107"/>
      <c r="AD21" s="100"/>
    </row>
    <row r="22" spans="1:32" x14ac:dyDescent="0.25">
      <c r="A22" s="37" t="s">
        <v>73</v>
      </c>
      <c r="B22" s="94" t="s">
        <v>87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103"/>
      <c r="V22" s="92"/>
      <c r="W22" s="93"/>
      <c r="AC22" s="99"/>
      <c r="AD22" s="100"/>
    </row>
    <row r="23" spans="1:32" x14ac:dyDescent="0.25">
      <c r="A23" s="96" t="s">
        <v>88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2"/>
      <c r="V23" s="92"/>
      <c r="W23" s="93"/>
      <c r="X23" s="100"/>
      <c r="AC23" s="99"/>
    </row>
    <row r="24" spans="1:32" ht="31.5" x14ac:dyDescent="0.25">
      <c r="A24" s="30" t="s">
        <v>76</v>
      </c>
      <c r="B24" s="34">
        <v>2859</v>
      </c>
      <c r="C24" s="34">
        <v>2860</v>
      </c>
      <c r="D24" s="34">
        <v>2850</v>
      </c>
      <c r="E24" s="34">
        <v>2783</v>
      </c>
      <c r="F24" s="34">
        <v>2783</v>
      </c>
      <c r="G24" s="34">
        <v>2783</v>
      </c>
      <c r="H24" s="34">
        <v>2783</v>
      </c>
      <c r="I24" s="34">
        <v>2783</v>
      </c>
      <c r="J24" s="34">
        <v>2783</v>
      </c>
      <c r="K24" s="34">
        <v>2783</v>
      </c>
      <c r="L24" s="34">
        <v>2783</v>
      </c>
      <c r="M24" s="98">
        <v>6990.7</v>
      </c>
      <c r="N24" s="34">
        <v>7764.9</v>
      </c>
      <c r="O24" s="34">
        <v>7414.4</v>
      </c>
      <c r="P24" s="34">
        <v>8058.3</v>
      </c>
      <c r="Q24" s="34">
        <v>7980.8</v>
      </c>
      <c r="R24" s="34">
        <v>8394.1</v>
      </c>
      <c r="S24" s="34">
        <v>0</v>
      </c>
      <c r="T24" s="34">
        <v>9059.7000000000007</v>
      </c>
      <c r="U24" s="34">
        <v>8811.4</v>
      </c>
      <c r="V24" s="108">
        <v>9023.5</v>
      </c>
      <c r="W24" s="108">
        <f>V24</f>
        <v>9023.5</v>
      </c>
      <c r="Y24" s="100"/>
      <c r="AB24" s="100">
        <f>T12+T16+T20</f>
        <v>291978.10000000003</v>
      </c>
      <c r="AC24" s="99" t="s">
        <v>89</v>
      </c>
    </row>
    <row r="25" spans="1:32" x14ac:dyDescent="0.25">
      <c r="A25" s="90" t="s">
        <v>90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103"/>
      <c r="V25" s="92"/>
      <c r="W25" s="93"/>
      <c r="AC25" s="99"/>
    </row>
    <row r="26" spans="1:32" x14ac:dyDescent="0.25">
      <c r="A26" s="37" t="s">
        <v>73</v>
      </c>
      <c r="B26" s="94" t="s">
        <v>91</v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103"/>
      <c r="V26" s="92"/>
      <c r="W26" s="93"/>
      <c r="AB26" s="100">
        <f>U12+U16+U20</f>
        <v>308745.57834000001</v>
      </c>
      <c r="AC26" s="99"/>
    </row>
    <row r="27" spans="1:32" x14ac:dyDescent="0.25">
      <c r="A27" s="96" t="s">
        <v>80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2"/>
      <c r="V27" s="92"/>
      <c r="W27" s="93"/>
      <c r="AC27" s="99"/>
    </row>
    <row r="28" spans="1:32" ht="31.5" x14ac:dyDescent="0.25">
      <c r="A28" s="30" t="s">
        <v>76</v>
      </c>
      <c r="B28" s="108">
        <v>1760</v>
      </c>
      <c r="C28" s="108">
        <v>1718</v>
      </c>
      <c r="D28" s="108">
        <v>1663</v>
      </c>
      <c r="E28" s="108">
        <v>1639</v>
      </c>
      <c r="F28" s="108">
        <v>1639</v>
      </c>
      <c r="G28" s="108">
        <v>1639</v>
      </c>
      <c r="H28" s="108">
        <v>1639</v>
      </c>
      <c r="I28" s="108">
        <v>1600</v>
      </c>
      <c r="J28" s="108">
        <v>1600</v>
      </c>
      <c r="K28" s="108">
        <v>1600</v>
      </c>
      <c r="L28" s="108">
        <v>1600</v>
      </c>
      <c r="M28" s="108">
        <v>24540.2</v>
      </c>
      <c r="N28" s="108">
        <v>27318.799999999999</v>
      </c>
      <c r="O28" s="109">
        <v>37615.9</v>
      </c>
      <c r="P28" s="109">
        <v>34556.199999999997</v>
      </c>
      <c r="Q28" s="109">
        <v>32389.599999999999</v>
      </c>
      <c r="R28" s="108">
        <v>33657</v>
      </c>
      <c r="S28" s="108">
        <v>35799.699999999997</v>
      </c>
      <c r="T28" s="108">
        <v>61666.1</v>
      </c>
      <c r="U28" s="110">
        <v>75385.899999999994</v>
      </c>
      <c r="V28" s="108">
        <v>59198.2</v>
      </c>
      <c r="W28" s="108">
        <v>59198.2</v>
      </c>
      <c r="AC28" s="99" t="s">
        <v>92</v>
      </c>
    </row>
    <row r="29" spans="1:32" hidden="1" x14ac:dyDescent="0.25">
      <c r="A29" s="90" t="s">
        <v>93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2"/>
      <c r="V29" s="92"/>
      <c r="W29" s="93"/>
    </row>
    <row r="30" spans="1:32" hidden="1" x14ac:dyDescent="0.25">
      <c r="A30" s="37" t="s">
        <v>73</v>
      </c>
      <c r="B30" s="94" t="s">
        <v>94</v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2"/>
      <c r="V30" s="92"/>
      <c r="W30" s="93"/>
    </row>
    <row r="31" spans="1:32" hidden="1" x14ac:dyDescent="0.25">
      <c r="A31" s="96" t="s">
        <v>80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2"/>
      <c r="V31" s="92"/>
      <c r="W31" s="93"/>
    </row>
    <row r="32" spans="1:32" ht="31.5" hidden="1" x14ac:dyDescent="0.25">
      <c r="A32" s="30" t="s">
        <v>76</v>
      </c>
      <c r="B32" s="34">
        <v>272</v>
      </c>
      <c r="C32" s="34">
        <v>272</v>
      </c>
      <c r="D32" s="34">
        <v>272</v>
      </c>
      <c r="E32" s="34">
        <v>509</v>
      </c>
      <c r="F32" s="34">
        <v>520</v>
      </c>
      <c r="G32" s="34">
        <v>520</v>
      </c>
      <c r="H32" s="34">
        <v>520</v>
      </c>
      <c r="I32" s="34">
        <v>520</v>
      </c>
      <c r="J32" s="34">
        <v>520</v>
      </c>
      <c r="K32" s="34">
        <v>520</v>
      </c>
      <c r="L32" s="34">
        <v>520</v>
      </c>
      <c r="M32" s="98">
        <v>1840.2</v>
      </c>
      <c r="N32" s="98">
        <v>1939.6</v>
      </c>
      <c r="O32" s="98">
        <v>760.7</v>
      </c>
      <c r="P32" s="98">
        <f>415+1197.4</f>
        <v>1612.4</v>
      </c>
      <c r="Q32" s="98">
        <f>444+1240.7</f>
        <v>1684.7</v>
      </c>
      <c r="R32" s="98">
        <f>444+1240.7</f>
        <v>1684.7</v>
      </c>
      <c r="S32" s="98">
        <f>444+1240.7</f>
        <v>1684.7</v>
      </c>
      <c r="T32" s="98">
        <f>444+1240.7</f>
        <v>1684.7</v>
      </c>
      <c r="U32" s="98">
        <f>444+1240.7</f>
        <v>1684.7</v>
      </c>
      <c r="V32" s="109">
        <f>U32</f>
        <v>1684.7</v>
      </c>
      <c r="W32" s="109">
        <f>V32</f>
        <v>1684.7</v>
      </c>
    </row>
    <row r="34" spans="1:19" x14ac:dyDescent="0.25">
      <c r="R34" s="100"/>
      <c r="S34" s="100"/>
    </row>
    <row r="35" spans="1:19" x14ac:dyDescent="0.25">
      <c r="A35" s="53" t="s">
        <v>33</v>
      </c>
      <c r="O35" s="111" t="s">
        <v>34</v>
      </c>
      <c r="P35" s="111"/>
      <c r="Q35" s="111"/>
      <c r="R35" s="111"/>
      <c r="S35" s="111"/>
    </row>
  </sheetData>
  <mergeCells count="27">
    <mergeCell ref="B30:T30"/>
    <mergeCell ref="A31:T31"/>
    <mergeCell ref="O35:S35"/>
    <mergeCell ref="B22:T22"/>
    <mergeCell ref="A23:T23"/>
    <mergeCell ref="A25:T25"/>
    <mergeCell ref="B26:T26"/>
    <mergeCell ref="A27:T27"/>
    <mergeCell ref="A29:T29"/>
    <mergeCell ref="B14:T14"/>
    <mergeCell ref="A15:T15"/>
    <mergeCell ref="A17:T17"/>
    <mergeCell ref="B18:T18"/>
    <mergeCell ref="A19:T19"/>
    <mergeCell ref="A21:T21"/>
    <mergeCell ref="B6:T6"/>
    <mergeCell ref="A7:T7"/>
    <mergeCell ref="A9:T9"/>
    <mergeCell ref="B10:T10"/>
    <mergeCell ref="A11:T11"/>
    <mergeCell ref="A13:T13"/>
    <mergeCell ref="M1:W1"/>
    <mergeCell ref="A2:T2"/>
    <mergeCell ref="A3:A4"/>
    <mergeCell ref="B3:L3"/>
    <mergeCell ref="M3:U3"/>
    <mergeCell ref="A5:T5"/>
  </mergeCells>
  <pageMargins left="0.7" right="0.7" top="0.75" bottom="0.75" header="0.3" footer="0.3"/>
  <pageSetup paperSize="9" scale="49" fitToHeight="0" orientation="landscape" r:id="rId1"/>
  <colBreaks count="1" manualBreakCount="1">
    <brk id="2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Q13"/>
  <sheetViews>
    <sheetView view="pageBreakPreview" zoomScale="79" zoomScaleNormal="79" zoomScaleSheetLayoutView="79" workbookViewId="0">
      <pane ySplit="5" topLeftCell="A6" activePane="bottomLeft" state="frozen"/>
      <selection activeCell="Q12" sqref="Q12"/>
      <selection pane="bottomLeft" activeCell="S10" sqref="S10"/>
    </sheetView>
  </sheetViews>
  <sheetFormatPr defaultRowHeight="15.75" x14ac:dyDescent="0.25"/>
  <cols>
    <col min="1" max="1" width="6.28515625" style="188" customWidth="1"/>
    <col min="2" max="2" width="79.140625" style="53" customWidth="1"/>
    <col min="3" max="3" width="12" style="53" customWidth="1"/>
    <col min="4" max="7" width="11.42578125" style="53" customWidth="1"/>
    <col min="8" max="10" width="11.42578125" style="80" customWidth="1"/>
    <col min="11" max="11" width="9.140625" style="80"/>
    <col min="12" max="12" width="9.140625" style="53"/>
    <col min="13" max="13" width="10.7109375" style="53" customWidth="1"/>
    <col min="14" max="16384" width="9.140625" style="53"/>
  </cols>
  <sheetData>
    <row r="1" spans="1:17" ht="51.75" customHeight="1" x14ac:dyDescent="0.25">
      <c r="A1" s="112"/>
      <c r="B1" s="113"/>
      <c r="C1" s="114"/>
      <c r="E1" s="212" t="s">
        <v>253</v>
      </c>
      <c r="F1" s="212"/>
      <c r="G1" s="212"/>
      <c r="H1" s="212"/>
      <c r="I1" s="212"/>
      <c r="J1" s="212"/>
      <c r="N1" s="80"/>
    </row>
    <row r="2" spans="1:17" ht="37.5" customHeight="1" x14ac:dyDescent="0.25">
      <c r="A2" s="213" t="s">
        <v>254</v>
      </c>
      <c r="B2" s="213"/>
      <c r="C2" s="213"/>
      <c r="D2" s="213"/>
      <c r="E2" s="213"/>
      <c r="F2" s="213"/>
      <c r="G2" s="213"/>
      <c r="H2" s="213"/>
      <c r="I2" s="213"/>
      <c r="J2" s="213"/>
      <c r="N2" s="80"/>
    </row>
    <row r="3" spans="1:17" ht="25.5" customHeight="1" x14ac:dyDescent="0.25">
      <c r="A3" s="214" t="s">
        <v>97</v>
      </c>
      <c r="B3" s="215" t="s">
        <v>255</v>
      </c>
      <c r="C3" s="215" t="s">
        <v>99</v>
      </c>
      <c r="D3" s="40" t="s">
        <v>101</v>
      </c>
      <c r="E3" s="40" t="s">
        <v>41</v>
      </c>
      <c r="F3" s="40" t="s">
        <v>42</v>
      </c>
      <c r="G3" s="40" t="s">
        <v>43</v>
      </c>
      <c r="H3" s="62" t="s">
        <v>44</v>
      </c>
      <c r="I3" s="62" t="s">
        <v>45</v>
      </c>
      <c r="J3" s="62" t="s">
        <v>46</v>
      </c>
      <c r="K3" s="62" t="s">
        <v>47</v>
      </c>
      <c r="L3" s="62" t="s">
        <v>48</v>
      </c>
      <c r="M3" s="62" t="s">
        <v>49</v>
      </c>
      <c r="N3" s="62" t="s">
        <v>50</v>
      </c>
      <c r="O3" s="62" t="s">
        <v>51</v>
      </c>
    </row>
    <row r="4" spans="1:17" ht="25.5" customHeight="1" x14ac:dyDescent="0.25">
      <c r="A4" s="216"/>
      <c r="B4" s="217"/>
      <c r="C4" s="217"/>
      <c r="D4" s="42"/>
      <c r="E4" s="218"/>
      <c r="F4" s="219"/>
      <c r="G4" s="42"/>
      <c r="H4" s="64"/>
      <c r="I4" s="64"/>
      <c r="J4" s="64"/>
      <c r="K4" s="64"/>
      <c r="L4" s="64"/>
      <c r="M4" s="64"/>
      <c r="N4" s="64"/>
      <c r="O4" s="64"/>
    </row>
    <row r="5" spans="1:17" ht="25.5" customHeight="1" x14ac:dyDescent="0.25">
      <c r="A5" s="220"/>
      <c r="B5" s="221"/>
      <c r="C5" s="221"/>
      <c r="D5" s="75"/>
      <c r="E5" s="222"/>
      <c r="F5" s="223"/>
      <c r="G5" s="75"/>
      <c r="H5" s="224"/>
      <c r="I5" s="224"/>
      <c r="J5" s="224"/>
      <c r="K5" s="224"/>
      <c r="L5" s="224"/>
      <c r="M5" s="224"/>
      <c r="N5" s="224"/>
      <c r="O5" s="224"/>
    </row>
    <row r="6" spans="1:17" ht="39.75" customHeight="1" x14ac:dyDescent="0.25">
      <c r="A6" s="225" t="s">
        <v>256</v>
      </c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</row>
    <row r="7" spans="1:17" ht="33" customHeight="1" x14ac:dyDescent="0.25">
      <c r="A7" s="227" t="s">
        <v>257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N7" s="80"/>
    </row>
    <row r="8" spans="1:17" ht="47.25" customHeight="1" x14ac:dyDescent="0.25">
      <c r="A8" s="229" t="s">
        <v>258</v>
      </c>
      <c r="B8" s="155" t="s">
        <v>119</v>
      </c>
      <c r="C8" s="36" t="s">
        <v>105</v>
      </c>
      <c r="D8" s="138" t="s">
        <v>120</v>
      </c>
      <c r="E8" s="230">
        <v>90.1</v>
      </c>
      <c r="F8" s="231">
        <v>97.5</v>
      </c>
      <c r="G8" s="139">
        <v>100</v>
      </c>
      <c r="H8" s="139">
        <v>100</v>
      </c>
      <c r="I8" s="139">
        <v>100</v>
      </c>
      <c r="J8" s="139">
        <v>100</v>
      </c>
      <c r="K8" s="139">
        <v>100</v>
      </c>
      <c r="L8" s="139">
        <v>100</v>
      </c>
      <c r="M8" s="139">
        <v>100</v>
      </c>
      <c r="N8" s="139">
        <v>100</v>
      </c>
      <c r="O8" s="139">
        <v>100</v>
      </c>
    </row>
    <row r="9" spans="1:17" ht="72.75" customHeight="1" x14ac:dyDescent="0.25">
      <c r="A9" s="229" t="s">
        <v>259</v>
      </c>
      <c r="B9" s="155" t="s">
        <v>122</v>
      </c>
      <c r="C9" s="36" t="s">
        <v>105</v>
      </c>
      <c r="D9" s="232" t="s">
        <v>120</v>
      </c>
      <c r="E9" s="12">
        <v>85</v>
      </c>
      <c r="F9" s="141">
        <v>97</v>
      </c>
      <c r="G9" s="233">
        <v>100</v>
      </c>
      <c r="H9" s="233">
        <v>100</v>
      </c>
      <c r="I9" s="233">
        <v>100</v>
      </c>
      <c r="J9" s="233">
        <v>100</v>
      </c>
      <c r="K9" s="233">
        <v>100</v>
      </c>
      <c r="L9" s="139">
        <v>100</v>
      </c>
      <c r="M9" s="139">
        <v>100</v>
      </c>
      <c r="N9" s="139">
        <v>100</v>
      </c>
      <c r="O9" s="139">
        <v>100</v>
      </c>
    </row>
    <row r="10" spans="1:17" ht="105" customHeight="1" x14ac:dyDescent="0.25">
      <c r="A10" s="229" t="s">
        <v>260</v>
      </c>
      <c r="B10" s="155" t="s">
        <v>261</v>
      </c>
      <c r="C10" s="36" t="s">
        <v>105</v>
      </c>
      <c r="D10" s="138" t="s">
        <v>120</v>
      </c>
      <c r="E10" s="234">
        <v>0</v>
      </c>
      <c r="F10" s="235">
        <v>0</v>
      </c>
      <c r="G10" s="139">
        <v>0</v>
      </c>
      <c r="H10" s="139">
        <v>100</v>
      </c>
      <c r="I10" s="139">
        <v>100</v>
      </c>
      <c r="J10" s="139">
        <v>100</v>
      </c>
      <c r="K10" s="139">
        <v>100</v>
      </c>
      <c r="L10" s="139">
        <v>100</v>
      </c>
      <c r="M10" s="139">
        <v>100</v>
      </c>
      <c r="N10" s="139">
        <v>100</v>
      </c>
      <c r="O10" s="139">
        <v>100</v>
      </c>
      <c r="P10" s="236"/>
      <c r="Q10" s="236"/>
    </row>
    <row r="11" spans="1:17" ht="118.5" customHeight="1" x14ac:dyDescent="0.25">
      <c r="A11" s="229" t="s">
        <v>262</v>
      </c>
      <c r="B11" s="122" t="s">
        <v>263</v>
      </c>
      <c r="C11" s="36" t="s">
        <v>105</v>
      </c>
      <c r="D11" s="138" t="s">
        <v>120</v>
      </c>
      <c r="E11" s="34" t="s">
        <v>128</v>
      </c>
      <c r="F11" s="139" t="s">
        <v>129</v>
      </c>
      <c r="G11" s="139">
        <v>0</v>
      </c>
      <c r="H11" s="139">
        <v>0</v>
      </c>
      <c r="I11" s="139" t="s">
        <v>129</v>
      </c>
      <c r="J11" s="139" t="s">
        <v>129</v>
      </c>
      <c r="K11" s="139" t="s">
        <v>129</v>
      </c>
      <c r="L11" s="139" t="s">
        <v>129</v>
      </c>
      <c r="M11" s="139" t="s">
        <v>129</v>
      </c>
      <c r="N11" s="139" t="s">
        <v>129</v>
      </c>
      <c r="O11" s="139" t="s">
        <v>129</v>
      </c>
      <c r="P11" s="236"/>
      <c r="Q11" s="236"/>
    </row>
    <row r="12" spans="1:17" ht="20.25" customHeight="1" x14ac:dyDescent="0.25">
      <c r="A12" s="237"/>
      <c r="B12" s="238"/>
      <c r="C12" s="120"/>
      <c r="D12" s="239"/>
      <c r="E12" s="239"/>
      <c r="F12" s="239"/>
      <c r="G12" s="239"/>
      <c r="H12" s="240"/>
      <c r="I12" s="240"/>
      <c r="J12" s="240"/>
      <c r="N12" s="80"/>
    </row>
    <row r="13" spans="1:17" ht="26.25" customHeight="1" x14ac:dyDescent="0.25">
      <c r="A13" s="241" t="s">
        <v>33</v>
      </c>
      <c r="B13" s="241"/>
      <c r="C13" s="241"/>
      <c r="G13" s="77"/>
      <c r="H13" s="242" t="s">
        <v>34</v>
      </c>
      <c r="I13" s="242"/>
      <c r="J13" s="243"/>
      <c r="N13" s="80"/>
    </row>
  </sheetData>
  <mergeCells count="19">
    <mergeCell ref="O3:O5"/>
    <mergeCell ref="A6:O6"/>
    <mergeCell ref="A7:L7"/>
    <mergeCell ref="I3:I5"/>
    <mergeCell ref="J3:J5"/>
    <mergeCell ref="K3:K5"/>
    <mergeCell ref="L3:L5"/>
    <mergeCell ref="M3:M5"/>
    <mergeCell ref="N3:N5"/>
    <mergeCell ref="E1:J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51181102362204722" right="0.51181102362204722" top="0.55118110236220474" bottom="0.35433070866141736" header="0.31496062992125984" footer="0.31496062992125984"/>
  <pageSetup paperSize="9" scale="61" fitToHeight="4" orientation="landscape" r:id="rId1"/>
  <headerFooter differentFirst="1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W109"/>
  <sheetViews>
    <sheetView view="pageBreakPreview" zoomScale="98" zoomScaleNormal="98" zoomScaleSheetLayoutView="98" workbookViewId="0">
      <pane xSplit="3" ySplit="6" topLeftCell="D64" activePane="bottomRight" state="frozen"/>
      <selection activeCell="Q12" sqref="Q12"/>
      <selection pane="topRight" activeCell="Q12" sqref="Q12"/>
      <selection pane="bottomLeft" activeCell="Q12" sqref="Q12"/>
      <selection pane="bottomRight" activeCell="C74" sqref="C74"/>
    </sheetView>
  </sheetViews>
  <sheetFormatPr defaultColWidth="9.28515625" defaultRowHeight="25.5" customHeight="1" x14ac:dyDescent="0.25"/>
  <cols>
    <col min="1" max="1" width="8.42578125" style="305" customWidth="1"/>
    <col min="2" max="2" width="60.7109375" style="53" customWidth="1"/>
    <col min="3" max="3" width="33.7109375" style="306" customWidth="1"/>
    <col min="4" max="5" width="9.28515625" style="306"/>
    <col min="6" max="6" width="13.85546875" style="306" bestFit="1" customWidth="1"/>
    <col min="7" max="7" width="9.28515625" style="306"/>
    <col min="8" max="8" width="14.28515625" style="306" customWidth="1"/>
    <col min="9" max="10" width="17.7109375" style="53" customWidth="1"/>
    <col min="11" max="18" width="18.28515625" style="53" customWidth="1"/>
    <col min="19" max="19" width="17.7109375" style="53" customWidth="1"/>
    <col min="20" max="20" width="55.5703125" style="53" customWidth="1"/>
    <col min="21" max="21" width="12" style="53" customWidth="1"/>
    <col min="22" max="22" width="15.42578125" style="53" customWidth="1"/>
    <col min="23" max="23" width="21.28515625" style="53" customWidth="1"/>
    <col min="24" max="16384" width="9.28515625" style="53"/>
  </cols>
  <sheetData>
    <row r="1" spans="1:23" s="206" customFormat="1" ht="58.5" customHeight="1" x14ac:dyDescent="0.25">
      <c r="A1" s="244"/>
      <c r="B1" s="245"/>
      <c r="C1" s="246"/>
      <c r="D1" s="246"/>
      <c r="E1" s="246"/>
      <c r="F1" s="246"/>
      <c r="G1" s="246"/>
      <c r="H1" s="246"/>
      <c r="I1" s="247"/>
      <c r="J1" s="247"/>
      <c r="S1" s="248" t="s">
        <v>264</v>
      </c>
      <c r="T1" s="248"/>
      <c r="U1" s="249"/>
      <c r="V1" s="249"/>
      <c r="W1" s="249"/>
    </row>
    <row r="2" spans="1:23" s="206" customFormat="1" ht="25.5" customHeight="1" x14ac:dyDescent="0.25">
      <c r="A2" s="250" t="s">
        <v>265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</row>
    <row r="3" spans="1:23" s="206" customFormat="1" ht="25.5" customHeight="1" x14ac:dyDescent="0.25">
      <c r="A3" s="50" t="s">
        <v>97</v>
      </c>
      <c r="B3" s="50" t="s">
        <v>266</v>
      </c>
      <c r="C3" s="50" t="s">
        <v>7</v>
      </c>
      <c r="D3" s="50" t="s">
        <v>5</v>
      </c>
      <c r="E3" s="50"/>
      <c r="F3" s="50"/>
      <c r="G3" s="50"/>
      <c r="H3" s="12"/>
      <c r="I3" s="50" t="s">
        <v>6</v>
      </c>
      <c r="J3" s="50"/>
      <c r="K3" s="50"/>
      <c r="L3" s="50"/>
      <c r="M3" s="50"/>
      <c r="N3" s="50"/>
      <c r="O3" s="50"/>
      <c r="P3" s="50"/>
      <c r="Q3" s="50"/>
      <c r="R3" s="50"/>
      <c r="S3" s="50"/>
      <c r="T3" s="50" t="s">
        <v>267</v>
      </c>
    </row>
    <row r="4" spans="1:23" s="206" customFormat="1" ht="25.5" customHeight="1" x14ac:dyDescent="0.25">
      <c r="A4" s="50"/>
      <c r="B4" s="50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12">
        <v>2020</v>
      </c>
      <c r="O4" s="12">
        <v>2021</v>
      </c>
      <c r="P4" s="12">
        <v>2022</v>
      </c>
      <c r="Q4" s="12">
        <v>2023</v>
      </c>
      <c r="R4" s="12">
        <v>2024</v>
      </c>
      <c r="S4" s="12" t="s">
        <v>11</v>
      </c>
      <c r="T4" s="50"/>
    </row>
    <row r="5" spans="1:23" ht="25.5" customHeight="1" x14ac:dyDescent="0.25">
      <c r="A5" s="33" t="s">
        <v>268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3" ht="25.5" customHeight="1" x14ac:dyDescent="0.25">
      <c r="A6" s="251" t="s">
        <v>269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</row>
    <row r="7" spans="1:23" ht="25.5" customHeight="1" x14ac:dyDescent="0.25">
      <c r="A7" s="252" t="s">
        <v>118</v>
      </c>
      <c r="B7" s="253" t="s">
        <v>270</v>
      </c>
      <c r="C7" s="252" t="s">
        <v>271</v>
      </c>
      <c r="D7" s="254" t="s">
        <v>18</v>
      </c>
      <c r="E7" s="254" t="s">
        <v>272</v>
      </c>
      <c r="F7" s="254" t="s">
        <v>273</v>
      </c>
      <c r="G7" s="254" t="s">
        <v>274</v>
      </c>
      <c r="H7" s="255">
        <v>69765.3</v>
      </c>
      <c r="I7" s="255">
        <v>78566.5</v>
      </c>
      <c r="J7" s="255">
        <v>53980.2</v>
      </c>
      <c r="K7" s="255">
        <v>48275.5</v>
      </c>
      <c r="L7" s="255">
        <v>47527.3</v>
      </c>
      <c r="M7" s="255">
        <v>50883.5</v>
      </c>
      <c r="N7" s="255">
        <f>46469-53.6</f>
        <v>46415.4</v>
      </c>
      <c r="O7" s="255">
        <v>6593.4</v>
      </c>
      <c r="P7" s="255">
        <f>9588.4-179.8</f>
        <v>9408.6</v>
      </c>
      <c r="Q7" s="255">
        <v>7722.6</v>
      </c>
      <c r="R7" s="255">
        <f>Q7</f>
        <v>7722.6</v>
      </c>
      <c r="S7" s="255">
        <f>SUM(H7:R7)</f>
        <v>426860.89999999997</v>
      </c>
      <c r="T7" s="40" t="s">
        <v>275</v>
      </c>
    </row>
    <row r="8" spans="1:23" ht="25.5" customHeight="1" x14ac:dyDescent="0.25">
      <c r="A8" s="256"/>
      <c r="B8" s="257"/>
      <c r="C8" s="256"/>
      <c r="D8" s="254" t="s">
        <v>18</v>
      </c>
      <c r="E8" s="254" t="s">
        <v>272</v>
      </c>
      <c r="F8" s="254" t="s">
        <v>273</v>
      </c>
      <c r="G8" s="254" t="s">
        <v>276</v>
      </c>
      <c r="H8" s="255">
        <v>2247.3000000000002</v>
      </c>
      <c r="I8" s="255">
        <v>6941.5</v>
      </c>
      <c r="J8" s="255">
        <v>7305.1</v>
      </c>
      <c r="K8" s="255">
        <v>3060.4</v>
      </c>
      <c r="L8" s="255">
        <v>788.7</v>
      </c>
      <c r="M8" s="255">
        <v>2751.6</v>
      </c>
      <c r="N8" s="255">
        <f>3804.6+382</f>
        <v>4186.6000000000004</v>
      </c>
      <c r="O8" s="255">
        <v>10365.4</v>
      </c>
      <c r="P8" s="255">
        <f>4423.4+209.8</f>
        <v>4633.2</v>
      </c>
      <c r="Q8" s="255">
        <v>0</v>
      </c>
      <c r="R8" s="255">
        <v>0</v>
      </c>
      <c r="S8" s="255">
        <f t="shared" ref="S8:S69" si="0">SUM(H8:R8)</f>
        <v>42279.8</v>
      </c>
      <c r="T8" s="42"/>
    </row>
    <row r="9" spans="1:23" ht="25.5" customHeight="1" x14ac:dyDescent="0.25">
      <c r="A9" s="256"/>
      <c r="B9" s="257"/>
      <c r="C9" s="256"/>
      <c r="D9" s="254" t="s">
        <v>18</v>
      </c>
      <c r="E9" s="254" t="s">
        <v>272</v>
      </c>
      <c r="F9" s="254" t="s">
        <v>273</v>
      </c>
      <c r="G9" s="254" t="s">
        <v>277</v>
      </c>
      <c r="H9" s="255">
        <v>11537</v>
      </c>
      <c r="I9" s="255">
        <v>12269.9</v>
      </c>
      <c r="J9" s="255">
        <v>8827.4</v>
      </c>
      <c r="K9" s="255">
        <v>7585.8</v>
      </c>
      <c r="L9" s="255">
        <v>7298.7</v>
      </c>
      <c r="M9" s="255">
        <v>7606.8</v>
      </c>
      <c r="N9" s="255">
        <v>6945.3</v>
      </c>
      <c r="O9" s="255">
        <v>1491.1</v>
      </c>
      <c r="P9" s="255">
        <v>1720.5</v>
      </c>
      <c r="Q9" s="255">
        <v>1628.5</v>
      </c>
      <c r="R9" s="255">
        <f t="shared" ref="R9:R69" si="1">Q9</f>
        <v>1628.5</v>
      </c>
      <c r="S9" s="255">
        <f t="shared" si="0"/>
        <v>68539.5</v>
      </c>
      <c r="T9" s="42"/>
    </row>
    <row r="10" spans="1:23" ht="25.5" customHeight="1" x14ac:dyDescent="0.25">
      <c r="A10" s="256"/>
      <c r="B10" s="257"/>
      <c r="C10" s="256"/>
      <c r="D10" s="254" t="s">
        <v>18</v>
      </c>
      <c r="E10" s="254" t="s">
        <v>272</v>
      </c>
      <c r="F10" s="254" t="s">
        <v>273</v>
      </c>
      <c r="G10" s="254" t="s">
        <v>278</v>
      </c>
      <c r="H10" s="255">
        <v>180</v>
      </c>
      <c r="I10" s="255">
        <v>1248.0999999999999</v>
      </c>
      <c r="J10" s="255">
        <v>101.9</v>
      </c>
      <c r="K10" s="255">
        <v>10</v>
      </c>
      <c r="L10" s="255"/>
      <c r="M10" s="255"/>
      <c r="N10" s="255"/>
      <c r="O10" s="255"/>
      <c r="P10" s="255">
        <f>O10</f>
        <v>0</v>
      </c>
      <c r="Q10" s="255">
        <f t="shared" ref="Q10:Q64" si="2">P10</f>
        <v>0</v>
      </c>
      <c r="R10" s="255">
        <f t="shared" si="1"/>
        <v>0</v>
      </c>
      <c r="S10" s="255">
        <f t="shared" si="0"/>
        <v>1540</v>
      </c>
      <c r="T10" s="42"/>
    </row>
    <row r="11" spans="1:23" ht="25.5" customHeight="1" x14ac:dyDescent="0.25">
      <c r="A11" s="256"/>
      <c r="B11" s="257"/>
      <c r="C11" s="256"/>
      <c r="D11" s="254" t="s">
        <v>18</v>
      </c>
      <c r="E11" s="254" t="s">
        <v>272</v>
      </c>
      <c r="F11" s="254" t="s">
        <v>279</v>
      </c>
      <c r="G11" s="254" t="s">
        <v>274</v>
      </c>
      <c r="H11" s="255"/>
      <c r="I11" s="255"/>
      <c r="J11" s="255"/>
      <c r="K11" s="255"/>
      <c r="L11" s="255"/>
      <c r="M11" s="255"/>
      <c r="N11" s="255"/>
      <c r="O11" s="255">
        <v>14888.7</v>
      </c>
      <c r="P11" s="255">
        <f>17536.3-30</f>
        <v>17506.3</v>
      </c>
      <c r="Q11" s="255">
        <v>17586.3</v>
      </c>
      <c r="R11" s="255">
        <f t="shared" si="1"/>
        <v>17586.3</v>
      </c>
      <c r="S11" s="255">
        <f t="shared" si="0"/>
        <v>67567.600000000006</v>
      </c>
      <c r="T11" s="42"/>
    </row>
    <row r="12" spans="1:23" ht="25.5" customHeight="1" x14ac:dyDescent="0.25">
      <c r="A12" s="256"/>
      <c r="B12" s="257"/>
      <c r="C12" s="256"/>
      <c r="D12" s="254" t="s">
        <v>18</v>
      </c>
      <c r="E12" s="254" t="s">
        <v>272</v>
      </c>
      <c r="F12" s="254" t="s">
        <v>279</v>
      </c>
      <c r="G12" s="254" t="s">
        <v>277</v>
      </c>
      <c r="H12" s="255"/>
      <c r="I12" s="255"/>
      <c r="J12" s="255"/>
      <c r="K12" s="255"/>
      <c r="L12" s="255"/>
      <c r="M12" s="255"/>
      <c r="N12" s="255"/>
      <c r="O12" s="255">
        <v>2688.7</v>
      </c>
      <c r="P12" s="255">
        <v>3291.9</v>
      </c>
      <c r="Q12" s="255">
        <f t="shared" si="2"/>
        <v>3291.9</v>
      </c>
      <c r="R12" s="255">
        <f t="shared" si="1"/>
        <v>3291.9</v>
      </c>
      <c r="S12" s="255">
        <f t="shared" si="0"/>
        <v>12564.4</v>
      </c>
      <c r="T12" s="42"/>
    </row>
    <row r="13" spans="1:23" ht="25.5" customHeight="1" x14ac:dyDescent="0.25">
      <c r="A13" s="256"/>
      <c r="B13" s="257"/>
      <c r="C13" s="256"/>
      <c r="D13" s="254" t="s">
        <v>18</v>
      </c>
      <c r="E13" s="254" t="s">
        <v>272</v>
      </c>
      <c r="F13" s="254" t="s">
        <v>280</v>
      </c>
      <c r="G13" s="254" t="s">
        <v>274</v>
      </c>
      <c r="H13" s="255"/>
      <c r="I13" s="255"/>
      <c r="J13" s="255"/>
      <c r="K13" s="255"/>
      <c r="L13" s="255"/>
      <c r="M13" s="255"/>
      <c r="N13" s="255"/>
      <c r="O13" s="255">
        <v>15496.1</v>
      </c>
      <c r="P13" s="255">
        <v>16874.599999999999</v>
      </c>
      <c r="Q13" s="255">
        <v>16691.400000000001</v>
      </c>
      <c r="R13" s="255">
        <f t="shared" si="1"/>
        <v>16691.400000000001</v>
      </c>
      <c r="S13" s="255">
        <f t="shared" si="0"/>
        <v>65753.5</v>
      </c>
      <c r="T13" s="42"/>
    </row>
    <row r="14" spans="1:23" ht="25.5" customHeight="1" x14ac:dyDescent="0.25">
      <c r="A14" s="256"/>
      <c r="B14" s="257"/>
      <c r="C14" s="256"/>
      <c r="D14" s="254" t="s">
        <v>18</v>
      </c>
      <c r="E14" s="254" t="s">
        <v>272</v>
      </c>
      <c r="F14" s="254" t="s">
        <v>280</v>
      </c>
      <c r="G14" s="254" t="s">
        <v>277</v>
      </c>
      <c r="H14" s="255"/>
      <c r="I14" s="255"/>
      <c r="J14" s="255"/>
      <c r="K14" s="255"/>
      <c r="L14" s="255"/>
      <c r="M14" s="255"/>
      <c r="N14" s="255"/>
      <c r="O14" s="255">
        <v>1754.1</v>
      </c>
      <c r="P14" s="255">
        <v>1939.3</v>
      </c>
      <c r="Q14" s="255">
        <f t="shared" si="2"/>
        <v>1939.3</v>
      </c>
      <c r="R14" s="255">
        <f t="shared" si="1"/>
        <v>1939.3</v>
      </c>
      <c r="S14" s="255">
        <f t="shared" si="0"/>
        <v>7572</v>
      </c>
      <c r="T14" s="42"/>
    </row>
    <row r="15" spans="1:23" ht="25.5" customHeight="1" x14ac:dyDescent="0.25">
      <c r="A15" s="256"/>
      <c r="B15" s="257"/>
      <c r="C15" s="256"/>
      <c r="D15" s="254" t="s">
        <v>18</v>
      </c>
      <c r="E15" s="254" t="s">
        <v>272</v>
      </c>
      <c r="F15" s="254" t="s">
        <v>281</v>
      </c>
      <c r="G15" s="254" t="s">
        <v>274</v>
      </c>
      <c r="H15" s="255"/>
      <c r="I15" s="255"/>
      <c r="J15" s="255"/>
      <c r="K15" s="255"/>
      <c r="L15" s="255"/>
      <c r="M15" s="255"/>
      <c r="N15" s="255"/>
      <c r="O15" s="255">
        <v>54327.5</v>
      </c>
      <c r="P15" s="255">
        <v>54035.4</v>
      </c>
      <c r="Q15" s="255">
        <v>51311.6</v>
      </c>
      <c r="R15" s="255">
        <f t="shared" si="1"/>
        <v>51311.6</v>
      </c>
      <c r="S15" s="255">
        <f t="shared" si="0"/>
        <v>210986.1</v>
      </c>
      <c r="T15" s="42"/>
    </row>
    <row r="16" spans="1:23" ht="25.5" customHeight="1" x14ac:dyDescent="0.25">
      <c r="A16" s="256"/>
      <c r="B16" s="257"/>
      <c r="C16" s="256"/>
      <c r="D16" s="254" t="s">
        <v>18</v>
      </c>
      <c r="E16" s="254" t="s">
        <v>272</v>
      </c>
      <c r="F16" s="254" t="s">
        <v>281</v>
      </c>
      <c r="G16" s="254" t="s">
        <v>277</v>
      </c>
      <c r="H16" s="255"/>
      <c r="I16" s="255"/>
      <c r="J16" s="255"/>
      <c r="K16" s="255"/>
      <c r="L16" s="255"/>
      <c r="M16" s="255"/>
      <c r="N16" s="255"/>
      <c r="O16" s="255">
        <v>8138.3</v>
      </c>
      <c r="P16" s="255">
        <v>8716.6</v>
      </c>
      <c r="Q16" s="255">
        <v>8202.2000000000007</v>
      </c>
      <c r="R16" s="255">
        <f t="shared" si="1"/>
        <v>8202.2000000000007</v>
      </c>
      <c r="S16" s="255">
        <f t="shared" si="0"/>
        <v>33259.300000000003</v>
      </c>
      <c r="T16" s="42"/>
    </row>
    <row r="17" spans="1:20" ht="25.5" customHeight="1" x14ac:dyDescent="0.25">
      <c r="A17" s="256"/>
      <c r="B17" s="257"/>
      <c r="C17" s="256"/>
      <c r="D17" s="254" t="s">
        <v>18</v>
      </c>
      <c r="E17" s="254" t="s">
        <v>272</v>
      </c>
      <c r="F17" s="254" t="s">
        <v>281</v>
      </c>
      <c r="G17" s="254" t="s">
        <v>282</v>
      </c>
      <c r="H17" s="255"/>
      <c r="I17" s="255"/>
      <c r="J17" s="255"/>
      <c r="K17" s="255"/>
      <c r="L17" s="255"/>
      <c r="M17" s="255"/>
      <c r="N17" s="255"/>
      <c r="O17" s="255">
        <v>0</v>
      </c>
      <c r="P17" s="255">
        <v>2169.1</v>
      </c>
      <c r="Q17" s="255">
        <v>3026.6</v>
      </c>
      <c r="R17" s="255">
        <f t="shared" si="1"/>
        <v>3026.6</v>
      </c>
      <c r="S17" s="255">
        <f t="shared" si="0"/>
        <v>8222.2999999999993</v>
      </c>
      <c r="T17" s="42"/>
    </row>
    <row r="18" spans="1:20" ht="25.5" customHeight="1" x14ac:dyDescent="0.25">
      <c r="A18" s="256"/>
      <c r="B18" s="257"/>
      <c r="C18" s="256"/>
      <c r="D18" s="254" t="s">
        <v>18</v>
      </c>
      <c r="E18" s="254" t="s">
        <v>272</v>
      </c>
      <c r="F18" s="254" t="s">
        <v>283</v>
      </c>
      <c r="G18" s="254" t="s">
        <v>274</v>
      </c>
      <c r="H18" s="255">
        <v>5961.4</v>
      </c>
      <c r="I18" s="255">
        <v>10099.9</v>
      </c>
      <c r="J18" s="255">
        <v>13561.6</v>
      </c>
      <c r="K18" s="255">
        <v>14858.8</v>
      </c>
      <c r="L18" s="255">
        <v>19814.900000000001</v>
      </c>
      <c r="M18" s="255">
        <v>33192.5</v>
      </c>
      <c r="N18" s="255">
        <f>30336.6-328.4</f>
        <v>30008.199999999997</v>
      </c>
      <c r="O18" s="255">
        <v>0</v>
      </c>
      <c r="P18" s="255"/>
      <c r="Q18" s="255"/>
      <c r="R18" s="255">
        <f t="shared" si="1"/>
        <v>0</v>
      </c>
      <c r="S18" s="255">
        <f t="shared" si="0"/>
        <v>127497.3</v>
      </c>
      <c r="T18" s="42"/>
    </row>
    <row r="19" spans="1:20" ht="25.5" customHeight="1" x14ac:dyDescent="0.25">
      <c r="A19" s="256"/>
      <c r="B19" s="257"/>
      <c r="C19" s="256"/>
      <c r="D19" s="254" t="s">
        <v>18</v>
      </c>
      <c r="E19" s="254" t="s">
        <v>272</v>
      </c>
      <c r="F19" s="254" t="s">
        <v>283</v>
      </c>
      <c r="G19" s="254" t="s">
        <v>277</v>
      </c>
      <c r="H19" s="255">
        <v>1142</v>
      </c>
      <c r="I19" s="255">
        <v>1752.1</v>
      </c>
      <c r="J19" s="255">
        <v>2506</v>
      </c>
      <c r="K19" s="255">
        <v>2673.8</v>
      </c>
      <c r="L19" s="255">
        <v>3359.1</v>
      </c>
      <c r="M19" s="255">
        <v>5005.5</v>
      </c>
      <c r="N19" s="255">
        <v>4731.2</v>
      </c>
      <c r="O19" s="255">
        <v>0</v>
      </c>
      <c r="P19" s="255"/>
      <c r="Q19" s="255"/>
      <c r="R19" s="255">
        <f t="shared" si="1"/>
        <v>0</v>
      </c>
      <c r="S19" s="255">
        <f t="shared" si="0"/>
        <v>21169.7</v>
      </c>
      <c r="T19" s="42"/>
    </row>
    <row r="20" spans="1:20" ht="20.25" customHeight="1" x14ac:dyDescent="0.25">
      <c r="A20" s="256"/>
      <c r="B20" s="257"/>
      <c r="C20" s="256"/>
      <c r="D20" s="254" t="s">
        <v>18</v>
      </c>
      <c r="E20" s="254" t="s">
        <v>272</v>
      </c>
      <c r="F20" s="254" t="s">
        <v>284</v>
      </c>
      <c r="G20" s="254" t="s">
        <v>276</v>
      </c>
      <c r="H20" s="255"/>
      <c r="I20" s="255"/>
      <c r="J20" s="255"/>
      <c r="K20" s="255"/>
      <c r="L20" s="255">
        <v>0</v>
      </c>
      <c r="M20" s="255">
        <v>50</v>
      </c>
      <c r="N20" s="255">
        <v>0</v>
      </c>
      <c r="O20" s="255">
        <v>0</v>
      </c>
      <c r="P20" s="255">
        <v>0</v>
      </c>
      <c r="Q20" s="255">
        <f t="shared" si="2"/>
        <v>0</v>
      </c>
      <c r="R20" s="255">
        <f t="shared" si="1"/>
        <v>0</v>
      </c>
      <c r="S20" s="255">
        <f t="shared" si="0"/>
        <v>50</v>
      </c>
      <c r="T20" s="42"/>
    </row>
    <row r="21" spans="1:20" ht="20.25" customHeight="1" x14ac:dyDescent="0.25">
      <c r="A21" s="256"/>
      <c r="B21" s="257"/>
      <c r="C21" s="256"/>
      <c r="D21" s="254" t="s">
        <v>18</v>
      </c>
      <c r="E21" s="254" t="s">
        <v>272</v>
      </c>
      <c r="F21" s="254" t="s">
        <v>284</v>
      </c>
      <c r="G21" s="254" t="s">
        <v>276</v>
      </c>
      <c r="H21" s="255">
        <v>0</v>
      </c>
      <c r="I21" s="255">
        <v>0</v>
      </c>
      <c r="J21" s="255">
        <v>2</v>
      </c>
      <c r="K21" s="255">
        <v>0</v>
      </c>
      <c r="L21" s="255">
        <v>0</v>
      </c>
      <c r="M21" s="255">
        <v>1000</v>
      </c>
      <c r="N21" s="255">
        <v>0</v>
      </c>
      <c r="O21" s="255">
        <v>0</v>
      </c>
      <c r="P21" s="255">
        <f>O21</f>
        <v>0</v>
      </c>
      <c r="Q21" s="255">
        <f t="shared" si="2"/>
        <v>0</v>
      </c>
      <c r="R21" s="255">
        <f t="shared" si="1"/>
        <v>0</v>
      </c>
      <c r="S21" s="255">
        <f t="shared" si="0"/>
        <v>1002</v>
      </c>
      <c r="T21" s="42"/>
    </row>
    <row r="22" spans="1:20" ht="25.5" customHeight="1" x14ac:dyDescent="0.25">
      <c r="A22" s="256"/>
      <c r="B22" s="257"/>
      <c r="C22" s="256"/>
      <c r="D22" s="254" t="s">
        <v>18</v>
      </c>
      <c r="E22" s="254" t="s">
        <v>272</v>
      </c>
      <c r="F22" s="254" t="s">
        <v>285</v>
      </c>
      <c r="G22" s="254" t="s">
        <v>276</v>
      </c>
      <c r="H22" s="255"/>
      <c r="I22" s="255"/>
      <c r="J22" s="255"/>
      <c r="K22" s="255"/>
      <c r="L22" s="255"/>
      <c r="M22" s="255"/>
      <c r="N22" s="255"/>
      <c r="O22" s="255"/>
      <c r="P22" s="255">
        <v>714.1</v>
      </c>
      <c r="Q22" s="255"/>
      <c r="R22" s="255"/>
      <c r="S22" s="255"/>
      <c r="T22" s="42"/>
    </row>
    <row r="23" spans="1:20" ht="21.75" customHeight="1" x14ac:dyDescent="0.25">
      <c r="A23" s="256"/>
      <c r="B23" s="258"/>
      <c r="C23" s="259"/>
      <c r="D23" s="254" t="s">
        <v>18</v>
      </c>
      <c r="E23" s="254" t="s">
        <v>272</v>
      </c>
      <c r="F23" s="254" t="s">
        <v>286</v>
      </c>
      <c r="G23" s="254" t="s">
        <v>278</v>
      </c>
      <c r="H23" s="255">
        <v>0</v>
      </c>
      <c r="I23" s="255">
        <v>0</v>
      </c>
      <c r="J23" s="255">
        <v>0</v>
      </c>
      <c r="K23" s="255">
        <v>1</v>
      </c>
      <c r="L23" s="255">
        <v>0</v>
      </c>
      <c r="M23" s="255">
        <v>0</v>
      </c>
      <c r="N23" s="255">
        <v>0</v>
      </c>
      <c r="O23" s="255">
        <v>0</v>
      </c>
      <c r="P23" s="255">
        <f>O23</f>
        <v>0</v>
      </c>
      <c r="Q23" s="255">
        <f t="shared" si="2"/>
        <v>0</v>
      </c>
      <c r="R23" s="255">
        <f t="shared" si="1"/>
        <v>0</v>
      </c>
      <c r="S23" s="255">
        <f t="shared" si="0"/>
        <v>1</v>
      </c>
      <c r="T23" s="42"/>
    </row>
    <row r="24" spans="1:20" ht="15.75" customHeight="1" x14ac:dyDescent="0.25">
      <c r="A24" s="256"/>
      <c r="B24" s="260" t="s">
        <v>287</v>
      </c>
      <c r="C24" s="40" t="s">
        <v>271</v>
      </c>
      <c r="D24" s="254" t="s">
        <v>288</v>
      </c>
      <c r="E24" s="254" t="s">
        <v>272</v>
      </c>
      <c r="F24" s="254" t="s">
        <v>289</v>
      </c>
      <c r="G24" s="254" t="s">
        <v>276</v>
      </c>
      <c r="H24" s="255">
        <v>0</v>
      </c>
      <c r="I24" s="255">
        <v>0</v>
      </c>
      <c r="J24" s="255">
        <v>141</v>
      </c>
      <c r="K24" s="255">
        <v>0</v>
      </c>
      <c r="L24" s="255">
        <v>0</v>
      </c>
      <c r="M24" s="255">
        <v>0</v>
      </c>
      <c r="N24" s="255">
        <v>0</v>
      </c>
      <c r="O24" s="255">
        <v>0</v>
      </c>
      <c r="P24" s="255">
        <f>O24</f>
        <v>0</v>
      </c>
      <c r="Q24" s="255">
        <f t="shared" si="2"/>
        <v>0</v>
      </c>
      <c r="R24" s="255">
        <f t="shared" si="1"/>
        <v>0</v>
      </c>
      <c r="S24" s="255">
        <f t="shared" si="0"/>
        <v>141</v>
      </c>
      <c r="T24" s="42"/>
    </row>
    <row r="25" spans="1:20" ht="19.5" customHeight="1" x14ac:dyDescent="0.25">
      <c r="A25" s="256"/>
      <c r="B25" s="261"/>
      <c r="C25" s="218"/>
      <c r="D25" s="254" t="s">
        <v>288</v>
      </c>
      <c r="E25" s="254" t="s">
        <v>272</v>
      </c>
      <c r="F25" s="254" t="s">
        <v>289</v>
      </c>
      <c r="G25" s="254" t="s">
        <v>278</v>
      </c>
      <c r="H25" s="255">
        <v>0</v>
      </c>
      <c r="I25" s="255">
        <v>0</v>
      </c>
      <c r="J25" s="255">
        <v>0</v>
      </c>
      <c r="K25" s="255">
        <v>70.5</v>
      </c>
      <c r="L25" s="255">
        <v>0</v>
      </c>
      <c r="M25" s="255">
        <v>0</v>
      </c>
      <c r="N25" s="255">
        <v>0</v>
      </c>
      <c r="O25" s="255">
        <v>0</v>
      </c>
      <c r="P25" s="255">
        <f>O25</f>
        <v>0</v>
      </c>
      <c r="Q25" s="255">
        <f t="shared" si="2"/>
        <v>0</v>
      </c>
      <c r="R25" s="255">
        <f t="shared" si="1"/>
        <v>0</v>
      </c>
      <c r="S25" s="255">
        <f t="shared" si="0"/>
        <v>70.5</v>
      </c>
      <c r="T25" s="42"/>
    </row>
    <row r="26" spans="1:20" ht="24" customHeight="1" x14ac:dyDescent="0.25">
      <c r="A26" s="256"/>
      <c r="B26" s="261"/>
      <c r="C26" s="218"/>
      <c r="D26" s="254" t="s">
        <v>18</v>
      </c>
      <c r="E26" s="254" t="s">
        <v>272</v>
      </c>
      <c r="F26" s="254" t="s">
        <v>290</v>
      </c>
      <c r="G26" s="254" t="s">
        <v>274</v>
      </c>
      <c r="H26" s="262">
        <v>55471</v>
      </c>
      <c r="I26" s="262">
        <v>64558.6</v>
      </c>
      <c r="J26" s="262">
        <v>62740.3</v>
      </c>
      <c r="K26" s="262">
        <v>67910</v>
      </c>
      <c r="L26" s="262">
        <v>69926.5</v>
      </c>
      <c r="M26" s="262">
        <v>80492.399999999994</v>
      </c>
      <c r="N26" s="262">
        <v>91762.1</v>
      </c>
      <c r="O26" s="262">
        <v>101231.3</v>
      </c>
      <c r="P26" s="262">
        <f>105513.2+3948.5</f>
        <v>109461.7</v>
      </c>
      <c r="Q26" s="255">
        <v>99980.6</v>
      </c>
      <c r="R26" s="255">
        <f t="shared" si="1"/>
        <v>99980.6</v>
      </c>
      <c r="S26" s="255">
        <f t="shared" si="0"/>
        <v>903515.1</v>
      </c>
      <c r="T26" s="42"/>
    </row>
    <row r="27" spans="1:20" ht="21.75" customHeight="1" x14ac:dyDescent="0.25">
      <c r="A27" s="256"/>
      <c r="B27" s="261"/>
      <c r="C27" s="218"/>
      <c r="D27" s="254" t="s">
        <v>18</v>
      </c>
      <c r="E27" s="254" t="s">
        <v>272</v>
      </c>
      <c r="F27" s="254" t="s">
        <v>290</v>
      </c>
      <c r="G27" s="254" t="s">
        <v>276</v>
      </c>
      <c r="H27" s="262">
        <v>216.4</v>
      </c>
      <c r="I27" s="262">
        <v>268.39999999999998</v>
      </c>
      <c r="J27" s="262">
        <v>343.4</v>
      </c>
      <c r="K27" s="262">
        <v>380.2</v>
      </c>
      <c r="L27" s="262">
        <v>337</v>
      </c>
      <c r="M27" s="262">
        <v>341</v>
      </c>
      <c r="N27" s="262">
        <v>0</v>
      </c>
      <c r="O27" s="262">
        <v>0</v>
      </c>
      <c r="P27" s="255">
        <v>0</v>
      </c>
      <c r="Q27" s="255">
        <f t="shared" si="2"/>
        <v>0</v>
      </c>
      <c r="R27" s="255">
        <f t="shared" si="1"/>
        <v>0</v>
      </c>
      <c r="S27" s="255">
        <f t="shared" si="0"/>
        <v>1886.3999999999999</v>
      </c>
      <c r="T27" s="42"/>
    </row>
    <row r="28" spans="1:20" ht="24" customHeight="1" x14ac:dyDescent="0.25">
      <c r="A28" s="256"/>
      <c r="B28" s="261"/>
      <c r="C28" s="218"/>
      <c r="D28" s="254" t="s">
        <v>18</v>
      </c>
      <c r="E28" s="254" t="s">
        <v>272</v>
      </c>
      <c r="F28" s="254" t="s">
        <v>290</v>
      </c>
      <c r="G28" s="254" t="s">
        <v>277</v>
      </c>
      <c r="H28" s="262">
        <v>8073.9</v>
      </c>
      <c r="I28" s="262">
        <v>9286.4</v>
      </c>
      <c r="J28" s="262">
        <v>9020.2999999999993</v>
      </c>
      <c r="K28" s="262">
        <v>9425.2000000000007</v>
      </c>
      <c r="L28" s="262">
        <v>10547.1</v>
      </c>
      <c r="M28" s="262">
        <v>12198.3</v>
      </c>
      <c r="N28" s="262">
        <v>15809.8</v>
      </c>
      <c r="O28" s="262">
        <v>15995.7</v>
      </c>
      <c r="P28" s="262">
        <f>17836.3+926.2</f>
        <v>18762.5</v>
      </c>
      <c r="Q28" s="255">
        <v>17592.8</v>
      </c>
      <c r="R28" s="255">
        <f t="shared" si="1"/>
        <v>17592.8</v>
      </c>
      <c r="S28" s="255">
        <f t="shared" si="0"/>
        <v>144304.79999999999</v>
      </c>
      <c r="T28" s="42"/>
    </row>
    <row r="29" spans="1:20" ht="25.5" customHeight="1" x14ac:dyDescent="0.25">
      <c r="A29" s="256"/>
      <c r="B29" s="261"/>
      <c r="C29" s="218"/>
      <c r="D29" s="254" t="s">
        <v>18</v>
      </c>
      <c r="E29" s="254" t="s">
        <v>272</v>
      </c>
      <c r="F29" s="254" t="s">
        <v>290</v>
      </c>
      <c r="G29" s="254" t="s">
        <v>282</v>
      </c>
      <c r="H29" s="262"/>
      <c r="I29" s="262"/>
      <c r="J29" s="262"/>
      <c r="K29" s="262">
        <v>0</v>
      </c>
      <c r="L29" s="262"/>
      <c r="M29" s="262"/>
      <c r="N29" s="262">
        <v>32.9</v>
      </c>
      <c r="O29" s="262">
        <v>29.8</v>
      </c>
      <c r="P29" s="255">
        <v>210.7</v>
      </c>
      <c r="Q29" s="255">
        <v>619.20000000000005</v>
      </c>
      <c r="R29" s="255">
        <f t="shared" si="1"/>
        <v>619.20000000000005</v>
      </c>
      <c r="S29" s="255">
        <f t="shared" si="0"/>
        <v>1511.8000000000002</v>
      </c>
      <c r="T29" s="42"/>
    </row>
    <row r="30" spans="1:20" ht="25.5" customHeight="1" x14ac:dyDescent="0.25">
      <c r="A30" s="256"/>
      <c r="B30" s="261"/>
      <c r="C30" s="218"/>
      <c r="D30" s="254" t="s">
        <v>18</v>
      </c>
      <c r="E30" s="254" t="s">
        <v>272</v>
      </c>
      <c r="F30" s="254" t="s">
        <v>290</v>
      </c>
      <c r="G30" s="254" t="s">
        <v>276</v>
      </c>
      <c r="H30" s="262">
        <v>3478.6</v>
      </c>
      <c r="I30" s="262">
        <v>3595.8</v>
      </c>
      <c r="J30" s="262"/>
      <c r="K30" s="262">
        <v>0</v>
      </c>
      <c r="L30" s="262"/>
      <c r="M30" s="262"/>
      <c r="N30" s="262"/>
      <c r="O30" s="262"/>
      <c r="P30" s="255">
        <f>O30</f>
        <v>0</v>
      </c>
      <c r="Q30" s="255">
        <f t="shared" si="2"/>
        <v>0</v>
      </c>
      <c r="R30" s="255">
        <f t="shared" si="1"/>
        <v>0</v>
      </c>
      <c r="S30" s="255">
        <f t="shared" si="0"/>
        <v>7074.4</v>
      </c>
      <c r="T30" s="42"/>
    </row>
    <row r="31" spans="1:20" ht="25.5" customHeight="1" x14ac:dyDescent="0.25">
      <c r="A31" s="256"/>
      <c r="B31" s="261"/>
      <c r="C31" s="218"/>
      <c r="D31" s="254" t="s">
        <v>18</v>
      </c>
      <c r="E31" s="254" t="s">
        <v>272</v>
      </c>
      <c r="F31" s="254" t="s">
        <v>290</v>
      </c>
      <c r="G31" s="254" t="s">
        <v>278</v>
      </c>
      <c r="H31" s="262">
        <v>486.3</v>
      </c>
      <c r="I31" s="262">
        <v>496.9</v>
      </c>
      <c r="J31" s="262"/>
      <c r="K31" s="262">
        <v>0</v>
      </c>
      <c r="L31" s="262"/>
      <c r="M31" s="262">
        <v>0</v>
      </c>
      <c r="N31" s="262">
        <v>0</v>
      </c>
      <c r="O31" s="262">
        <v>0</v>
      </c>
      <c r="P31" s="255">
        <v>0</v>
      </c>
      <c r="Q31" s="255">
        <f t="shared" si="2"/>
        <v>0</v>
      </c>
      <c r="R31" s="255">
        <f t="shared" si="1"/>
        <v>0</v>
      </c>
      <c r="S31" s="255">
        <f t="shared" si="0"/>
        <v>983.2</v>
      </c>
      <c r="T31" s="42"/>
    </row>
    <row r="32" spans="1:20" ht="25.5" customHeight="1" x14ac:dyDescent="0.25">
      <c r="A32" s="256"/>
      <c r="B32" s="261"/>
      <c r="C32" s="218"/>
      <c r="D32" s="254" t="s">
        <v>18</v>
      </c>
      <c r="E32" s="254" t="s">
        <v>272</v>
      </c>
      <c r="F32" s="254" t="s">
        <v>291</v>
      </c>
      <c r="G32" s="254" t="s">
        <v>274</v>
      </c>
      <c r="H32" s="262"/>
      <c r="I32" s="262"/>
      <c r="J32" s="262">
        <v>32757.9</v>
      </c>
      <c r="K32" s="262">
        <v>35111</v>
      </c>
      <c r="L32" s="262">
        <v>38950.400000000001</v>
      </c>
      <c r="M32" s="262">
        <v>42346.400000000001</v>
      </c>
      <c r="N32" s="262">
        <v>44829</v>
      </c>
      <c r="O32" s="262">
        <v>46553.8</v>
      </c>
      <c r="P32" s="262">
        <f>49878.1+1358.7</f>
        <v>51236.799999999996</v>
      </c>
      <c r="Q32" s="255">
        <v>46013.8</v>
      </c>
      <c r="R32" s="255">
        <f t="shared" si="1"/>
        <v>46013.8</v>
      </c>
      <c r="S32" s="255">
        <f t="shared" si="0"/>
        <v>383812.89999999997</v>
      </c>
      <c r="T32" s="42"/>
    </row>
    <row r="33" spans="1:20" ht="25.5" customHeight="1" x14ac:dyDescent="0.25">
      <c r="A33" s="256"/>
      <c r="B33" s="261"/>
      <c r="C33" s="218"/>
      <c r="D33" s="254" t="s">
        <v>18</v>
      </c>
      <c r="E33" s="254" t="s">
        <v>272</v>
      </c>
      <c r="F33" s="254" t="s">
        <v>291</v>
      </c>
      <c r="G33" s="254" t="s">
        <v>276</v>
      </c>
      <c r="H33" s="262"/>
      <c r="I33" s="262"/>
      <c r="J33" s="262">
        <v>762.6</v>
      </c>
      <c r="K33" s="262">
        <v>412</v>
      </c>
      <c r="L33" s="262">
        <v>357</v>
      </c>
      <c r="M33" s="262">
        <v>290</v>
      </c>
      <c r="N33" s="262">
        <v>0</v>
      </c>
      <c r="O33" s="262">
        <v>0</v>
      </c>
      <c r="P33" s="255">
        <v>0</v>
      </c>
      <c r="Q33" s="255">
        <f t="shared" si="2"/>
        <v>0</v>
      </c>
      <c r="R33" s="255">
        <f t="shared" si="1"/>
        <v>0</v>
      </c>
      <c r="S33" s="255">
        <f t="shared" si="0"/>
        <v>1821.6</v>
      </c>
      <c r="T33" s="42"/>
    </row>
    <row r="34" spans="1:20" ht="25.5" customHeight="1" x14ac:dyDescent="0.25">
      <c r="A34" s="256"/>
      <c r="B34" s="261"/>
      <c r="C34" s="218"/>
      <c r="D34" s="254" t="s">
        <v>18</v>
      </c>
      <c r="E34" s="254" t="s">
        <v>272</v>
      </c>
      <c r="F34" s="254" t="s">
        <v>291</v>
      </c>
      <c r="G34" s="254" t="s">
        <v>277</v>
      </c>
      <c r="H34" s="262"/>
      <c r="I34" s="262"/>
      <c r="J34" s="262">
        <v>4635</v>
      </c>
      <c r="K34" s="262">
        <v>4958.6000000000004</v>
      </c>
      <c r="L34" s="262">
        <v>5314.3</v>
      </c>
      <c r="M34" s="262">
        <v>6772.5</v>
      </c>
      <c r="N34" s="262">
        <v>6990.4</v>
      </c>
      <c r="O34" s="262">
        <v>7601.9</v>
      </c>
      <c r="P34" s="262">
        <f>8632.4+252</f>
        <v>8884.4</v>
      </c>
      <c r="Q34" s="255">
        <v>7976.7</v>
      </c>
      <c r="R34" s="255">
        <f t="shared" si="1"/>
        <v>7976.7</v>
      </c>
      <c r="S34" s="255">
        <f t="shared" si="0"/>
        <v>61110.5</v>
      </c>
      <c r="T34" s="42"/>
    </row>
    <row r="35" spans="1:20" ht="25.5" customHeight="1" x14ac:dyDescent="0.25">
      <c r="A35" s="256"/>
      <c r="B35" s="261"/>
      <c r="C35" s="218"/>
      <c r="D35" s="254" t="s">
        <v>18</v>
      </c>
      <c r="E35" s="254" t="s">
        <v>272</v>
      </c>
      <c r="F35" s="254" t="s">
        <v>291</v>
      </c>
      <c r="G35" s="254" t="s">
        <v>282</v>
      </c>
      <c r="H35" s="262"/>
      <c r="I35" s="262"/>
      <c r="J35" s="262"/>
      <c r="K35" s="262"/>
      <c r="L35" s="262"/>
      <c r="M35" s="262"/>
      <c r="N35" s="262"/>
      <c r="O35" s="262"/>
      <c r="P35" s="262">
        <v>1177</v>
      </c>
      <c r="Q35" s="255">
        <v>1233.0999999999999</v>
      </c>
      <c r="R35" s="255">
        <f t="shared" si="1"/>
        <v>1233.0999999999999</v>
      </c>
      <c r="S35" s="255">
        <f t="shared" si="0"/>
        <v>3643.2</v>
      </c>
      <c r="T35" s="42"/>
    </row>
    <row r="36" spans="1:20" ht="25.5" customHeight="1" x14ac:dyDescent="0.25">
      <c r="A36" s="256"/>
      <c r="B36" s="261"/>
      <c r="C36" s="218"/>
      <c r="D36" s="254" t="s">
        <v>18</v>
      </c>
      <c r="E36" s="254" t="s">
        <v>272</v>
      </c>
      <c r="F36" s="254" t="s">
        <v>291</v>
      </c>
      <c r="G36" s="254" t="s">
        <v>278</v>
      </c>
      <c r="H36" s="262"/>
      <c r="I36" s="262"/>
      <c r="J36" s="262">
        <v>89.5</v>
      </c>
      <c r="K36" s="262">
        <v>0</v>
      </c>
      <c r="L36" s="262"/>
      <c r="M36" s="262"/>
      <c r="N36" s="262"/>
      <c r="O36" s="262"/>
      <c r="P36" s="255">
        <f>O36</f>
        <v>0</v>
      </c>
      <c r="Q36" s="255">
        <f t="shared" si="2"/>
        <v>0</v>
      </c>
      <c r="R36" s="255">
        <f t="shared" si="1"/>
        <v>0</v>
      </c>
      <c r="S36" s="255">
        <f t="shared" si="0"/>
        <v>89.5</v>
      </c>
      <c r="T36" s="42"/>
    </row>
    <row r="37" spans="1:20" ht="25.5" customHeight="1" x14ac:dyDescent="0.25">
      <c r="A37" s="256"/>
      <c r="B37" s="261"/>
      <c r="C37" s="218"/>
      <c r="D37" s="254" t="s">
        <v>18</v>
      </c>
      <c r="E37" s="254" t="s">
        <v>272</v>
      </c>
      <c r="F37" s="254" t="s">
        <v>292</v>
      </c>
      <c r="G37" s="254" t="s">
        <v>277</v>
      </c>
      <c r="H37" s="262"/>
      <c r="I37" s="262"/>
      <c r="J37" s="262"/>
      <c r="K37" s="262"/>
      <c r="L37" s="262">
        <v>102.6</v>
      </c>
      <c r="M37" s="262">
        <v>46.4</v>
      </c>
      <c r="N37" s="262">
        <v>436.4</v>
      </c>
      <c r="O37" s="262">
        <v>0</v>
      </c>
      <c r="P37" s="255">
        <f>O37</f>
        <v>0</v>
      </c>
      <c r="Q37" s="255">
        <f t="shared" si="2"/>
        <v>0</v>
      </c>
      <c r="R37" s="255">
        <f t="shared" si="1"/>
        <v>0</v>
      </c>
      <c r="S37" s="255">
        <f t="shared" si="0"/>
        <v>585.4</v>
      </c>
      <c r="T37" s="42"/>
    </row>
    <row r="38" spans="1:20" ht="25.5" customHeight="1" x14ac:dyDescent="0.25">
      <c r="A38" s="256"/>
      <c r="B38" s="261"/>
      <c r="C38" s="218"/>
      <c r="D38" s="254" t="s">
        <v>18</v>
      </c>
      <c r="E38" s="254" t="s">
        <v>272</v>
      </c>
      <c r="F38" s="254" t="s">
        <v>293</v>
      </c>
      <c r="G38" s="254" t="s">
        <v>274</v>
      </c>
      <c r="H38" s="262"/>
      <c r="I38" s="262"/>
      <c r="J38" s="262"/>
      <c r="K38" s="262"/>
      <c r="L38" s="262">
        <v>613.20000000000005</v>
      </c>
      <c r="M38" s="262">
        <v>283</v>
      </c>
      <c r="N38" s="262">
        <f>2616.6+1168.6</f>
        <v>3785.2</v>
      </c>
      <c r="O38" s="262">
        <v>0</v>
      </c>
      <c r="P38" s="255">
        <f>O38</f>
        <v>0</v>
      </c>
      <c r="Q38" s="255">
        <f t="shared" si="2"/>
        <v>0</v>
      </c>
      <c r="R38" s="255">
        <f t="shared" si="1"/>
        <v>0</v>
      </c>
      <c r="S38" s="255">
        <f t="shared" si="0"/>
        <v>4681.3999999999996</v>
      </c>
      <c r="T38" s="42"/>
    </row>
    <row r="39" spans="1:20" ht="25.5" customHeight="1" x14ac:dyDescent="0.25">
      <c r="A39" s="256"/>
      <c r="B39" s="261"/>
      <c r="C39" s="218"/>
      <c r="D39" s="254" t="s">
        <v>18</v>
      </c>
      <c r="E39" s="254" t="s">
        <v>272</v>
      </c>
      <c r="F39" s="254" t="s">
        <v>294</v>
      </c>
      <c r="G39" s="254" t="s">
        <v>274</v>
      </c>
      <c r="H39" s="262"/>
      <c r="I39" s="262"/>
      <c r="J39" s="262"/>
      <c r="K39" s="262"/>
      <c r="L39" s="262"/>
      <c r="M39" s="262"/>
      <c r="N39" s="262">
        <v>145.4</v>
      </c>
      <c r="O39" s="262"/>
      <c r="P39" s="255"/>
      <c r="Q39" s="255"/>
      <c r="R39" s="255">
        <f t="shared" si="1"/>
        <v>0</v>
      </c>
      <c r="S39" s="255">
        <f t="shared" si="0"/>
        <v>145.4</v>
      </c>
      <c r="T39" s="42"/>
    </row>
    <row r="40" spans="1:20" ht="25.5" customHeight="1" x14ac:dyDescent="0.25">
      <c r="A40" s="256"/>
      <c r="B40" s="261"/>
      <c r="C40" s="218"/>
      <c r="D40" s="254" t="s">
        <v>18</v>
      </c>
      <c r="E40" s="254" t="s">
        <v>272</v>
      </c>
      <c r="F40" s="254" t="s">
        <v>294</v>
      </c>
      <c r="G40" s="254" t="s">
        <v>277</v>
      </c>
      <c r="H40" s="262"/>
      <c r="I40" s="262"/>
      <c r="J40" s="262"/>
      <c r="K40" s="262"/>
      <c r="L40" s="262"/>
      <c r="M40" s="262"/>
      <c r="N40" s="262">
        <v>22.2</v>
      </c>
      <c r="O40" s="262"/>
      <c r="P40" s="255"/>
      <c r="Q40" s="255"/>
      <c r="R40" s="255">
        <f t="shared" si="1"/>
        <v>0</v>
      </c>
      <c r="S40" s="255">
        <f t="shared" si="0"/>
        <v>22.2</v>
      </c>
      <c r="T40" s="42"/>
    </row>
    <row r="41" spans="1:20" ht="25.5" customHeight="1" x14ac:dyDescent="0.25">
      <c r="A41" s="256"/>
      <c r="B41" s="261"/>
      <c r="C41" s="218"/>
      <c r="D41" s="254" t="s">
        <v>18</v>
      </c>
      <c r="E41" s="254" t="s">
        <v>272</v>
      </c>
      <c r="F41" s="254" t="s">
        <v>295</v>
      </c>
      <c r="G41" s="254" t="s">
        <v>276</v>
      </c>
      <c r="H41" s="262"/>
      <c r="I41" s="262"/>
      <c r="J41" s="262"/>
      <c r="K41" s="262"/>
      <c r="L41" s="262"/>
      <c r="M41" s="262"/>
      <c r="N41" s="262"/>
      <c r="O41" s="262"/>
      <c r="P41" s="255">
        <v>7500</v>
      </c>
      <c r="Q41" s="255">
        <v>0</v>
      </c>
      <c r="R41" s="255">
        <v>0</v>
      </c>
      <c r="S41" s="255">
        <f t="shared" si="0"/>
        <v>7500</v>
      </c>
      <c r="T41" s="42"/>
    </row>
    <row r="42" spans="1:20" ht="25.5" customHeight="1" x14ac:dyDescent="0.25">
      <c r="A42" s="256"/>
      <c r="B42" s="261"/>
      <c r="C42" s="218"/>
      <c r="D42" s="254" t="s">
        <v>18</v>
      </c>
      <c r="E42" s="254" t="s">
        <v>272</v>
      </c>
      <c r="F42" s="254" t="s">
        <v>296</v>
      </c>
      <c r="G42" s="254" t="s">
        <v>276</v>
      </c>
      <c r="H42" s="262"/>
      <c r="I42" s="262"/>
      <c r="J42" s="262"/>
      <c r="K42" s="262">
        <v>99</v>
      </c>
      <c r="L42" s="262"/>
      <c r="M42" s="262"/>
      <c r="N42" s="262"/>
      <c r="O42" s="262">
        <v>1271.2</v>
      </c>
      <c r="P42" s="255">
        <v>0</v>
      </c>
      <c r="Q42" s="255">
        <v>0</v>
      </c>
      <c r="R42" s="255">
        <f t="shared" si="1"/>
        <v>0</v>
      </c>
      <c r="S42" s="255">
        <f t="shared" si="0"/>
        <v>1370.2</v>
      </c>
      <c r="T42" s="42"/>
    </row>
    <row r="43" spans="1:20" ht="25.5" customHeight="1" x14ac:dyDescent="0.25">
      <c r="A43" s="256"/>
      <c r="B43" s="261"/>
      <c r="C43" s="218"/>
      <c r="D43" s="254" t="s">
        <v>18</v>
      </c>
      <c r="E43" s="254" t="s">
        <v>272</v>
      </c>
      <c r="F43" s="254" t="s">
        <v>297</v>
      </c>
      <c r="G43" s="254" t="s">
        <v>274</v>
      </c>
      <c r="H43" s="262">
        <v>181.4</v>
      </c>
      <c r="I43" s="262"/>
      <c r="J43" s="262"/>
      <c r="K43" s="262"/>
      <c r="L43" s="262"/>
      <c r="M43" s="262"/>
      <c r="N43" s="262"/>
      <c r="O43" s="262"/>
      <c r="P43" s="255">
        <f>O43</f>
        <v>0</v>
      </c>
      <c r="Q43" s="255">
        <f t="shared" si="2"/>
        <v>0</v>
      </c>
      <c r="R43" s="255">
        <f t="shared" si="1"/>
        <v>0</v>
      </c>
      <c r="S43" s="255">
        <f t="shared" si="0"/>
        <v>181.4</v>
      </c>
      <c r="T43" s="42"/>
    </row>
    <row r="44" spans="1:20" ht="25.5" customHeight="1" x14ac:dyDescent="0.25">
      <c r="A44" s="256"/>
      <c r="B44" s="263"/>
      <c r="C44" s="222"/>
      <c r="D44" s="254" t="s">
        <v>18</v>
      </c>
      <c r="E44" s="254" t="s">
        <v>272</v>
      </c>
      <c r="F44" s="254" t="s">
        <v>297</v>
      </c>
      <c r="G44" s="254" t="s">
        <v>277</v>
      </c>
      <c r="H44" s="262">
        <v>35.299999999999997</v>
      </c>
      <c r="I44" s="262"/>
      <c r="J44" s="262"/>
      <c r="K44" s="262"/>
      <c r="L44" s="262"/>
      <c r="M44" s="262"/>
      <c r="N44" s="262"/>
      <c r="O44" s="262"/>
      <c r="P44" s="255">
        <f>O44</f>
        <v>0</v>
      </c>
      <c r="Q44" s="255">
        <f t="shared" si="2"/>
        <v>0</v>
      </c>
      <c r="R44" s="255">
        <f t="shared" si="1"/>
        <v>0</v>
      </c>
      <c r="S44" s="255">
        <f t="shared" si="0"/>
        <v>35.299999999999997</v>
      </c>
      <c r="T44" s="42"/>
    </row>
    <row r="45" spans="1:20" ht="52.5" customHeight="1" x14ac:dyDescent="0.25">
      <c r="A45" s="259"/>
      <c r="B45" s="264" t="s">
        <v>298</v>
      </c>
      <c r="C45" s="12" t="s">
        <v>271</v>
      </c>
      <c r="D45" s="254" t="s">
        <v>18</v>
      </c>
      <c r="E45" s="254" t="s">
        <v>272</v>
      </c>
      <c r="F45" s="254" t="s">
        <v>15</v>
      </c>
      <c r="G45" s="254" t="s">
        <v>15</v>
      </c>
      <c r="H45" s="262">
        <v>13162.3</v>
      </c>
      <c r="I45" s="262">
        <v>12443.8</v>
      </c>
      <c r="J45" s="262">
        <v>16587.599999999999</v>
      </c>
      <c r="K45" s="262">
        <v>19415.5</v>
      </c>
      <c r="L45" s="262">
        <v>21251.4</v>
      </c>
      <c r="M45" s="262">
        <v>20373.5</v>
      </c>
      <c r="N45" s="262">
        <v>15029.6</v>
      </c>
      <c r="O45" s="262">
        <v>20174.3</v>
      </c>
      <c r="P45" s="262">
        <v>19323</v>
      </c>
      <c r="Q45" s="255">
        <v>20096.5</v>
      </c>
      <c r="R45" s="255">
        <f t="shared" si="1"/>
        <v>20096.5</v>
      </c>
      <c r="S45" s="255">
        <f t="shared" si="0"/>
        <v>197954</v>
      </c>
      <c r="T45" s="75"/>
    </row>
    <row r="46" spans="1:20" ht="25.5" customHeight="1" x14ac:dyDescent="0.25">
      <c r="A46" s="265" t="s">
        <v>121</v>
      </c>
      <c r="B46" s="260" t="s">
        <v>299</v>
      </c>
      <c r="C46" s="40" t="s">
        <v>271</v>
      </c>
      <c r="D46" s="254" t="s">
        <v>18</v>
      </c>
      <c r="E46" s="254" t="s">
        <v>272</v>
      </c>
      <c r="F46" s="254" t="s">
        <v>300</v>
      </c>
      <c r="G46" s="254" t="s">
        <v>276</v>
      </c>
      <c r="H46" s="262">
        <v>2036.1</v>
      </c>
      <c r="I46" s="262"/>
      <c r="J46" s="262"/>
      <c r="K46" s="262"/>
      <c r="L46" s="262"/>
      <c r="M46" s="262"/>
      <c r="N46" s="262"/>
      <c r="O46" s="262"/>
      <c r="P46" s="255">
        <f>O46</f>
        <v>0</v>
      </c>
      <c r="Q46" s="255">
        <f t="shared" si="2"/>
        <v>0</v>
      </c>
      <c r="R46" s="255">
        <f t="shared" si="1"/>
        <v>0</v>
      </c>
      <c r="S46" s="255">
        <f t="shared" si="0"/>
        <v>2036.1</v>
      </c>
      <c r="T46" s="266" t="s">
        <v>301</v>
      </c>
    </row>
    <row r="47" spans="1:20" ht="25.5" customHeight="1" x14ac:dyDescent="0.25">
      <c r="A47" s="267"/>
      <c r="B47" s="263"/>
      <c r="C47" s="75"/>
      <c r="D47" s="254" t="s">
        <v>18</v>
      </c>
      <c r="E47" s="254" t="s">
        <v>272</v>
      </c>
      <c r="F47" s="254" t="s">
        <v>302</v>
      </c>
      <c r="G47" s="254" t="s">
        <v>276</v>
      </c>
      <c r="H47" s="262">
        <v>511.1</v>
      </c>
      <c r="I47" s="262"/>
      <c r="J47" s="262"/>
      <c r="K47" s="262"/>
      <c r="L47" s="262"/>
      <c r="M47" s="262"/>
      <c r="N47" s="262"/>
      <c r="O47" s="262"/>
      <c r="P47" s="255">
        <f>O47</f>
        <v>0</v>
      </c>
      <c r="Q47" s="255">
        <f t="shared" si="2"/>
        <v>0</v>
      </c>
      <c r="R47" s="255">
        <f t="shared" si="1"/>
        <v>0</v>
      </c>
      <c r="S47" s="255">
        <f t="shared" si="0"/>
        <v>511.1</v>
      </c>
      <c r="T47" s="268"/>
    </row>
    <row r="48" spans="1:20" ht="25.5" customHeight="1" x14ac:dyDescent="0.25">
      <c r="A48" s="267"/>
      <c r="B48" s="260" t="s">
        <v>303</v>
      </c>
      <c r="C48" s="40" t="s">
        <v>271</v>
      </c>
      <c r="D48" s="254"/>
      <c r="E48" s="254" t="s">
        <v>272</v>
      </c>
      <c r="F48" s="254" t="s">
        <v>304</v>
      </c>
      <c r="G48" s="254" t="s">
        <v>274</v>
      </c>
      <c r="H48" s="262"/>
      <c r="I48" s="262"/>
      <c r="J48" s="262"/>
      <c r="K48" s="262"/>
      <c r="L48" s="262"/>
      <c r="M48" s="262"/>
      <c r="N48" s="262">
        <v>257.3</v>
      </c>
      <c r="O48" s="262"/>
      <c r="P48" s="255"/>
      <c r="Q48" s="255"/>
      <c r="R48" s="255">
        <f t="shared" si="1"/>
        <v>0</v>
      </c>
      <c r="S48" s="255">
        <f t="shared" si="0"/>
        <v>257.3</v>
      </c>
      <c r="T48" s="268"/>
    </row>
    <row r="49" spans="1:20" ht="25.5" customHeight="1" x14ac:dyDescent="0.25">
      <c r="A49" s="267"/>
      <c r="B49" s="263"/>
      <c r="C49" s="42"/>
      <c r="D49" s="254"/>
      <c r="E49" s="254" t="s">
        <v>272</v>
      </c>
      <c r="F49" s="254" t="s">
        <v>304</v>
      </c>
      <c r="G49" s="254" t="s">
        <v>276</v>
      </c>
      <c r="H49" s="262"/>
      <c r="I49" s="262"/>
      <c r="J49" s="262"/>
      <c r="K49" s="262"/>
      <c r="L49" s="262"/>
      <c r="M49" s="262"/>
      <c r="N49" s="262">
        <v>2133.4</v>
      </c>
      <c r="O49" s="262"/>
      <c r="P49" s="255"/>
      <c r="Q49" s="255">
        <f t="shared" si="2"/>
        <v>0</v>
      </c>
      <c r="R49" s="255">
        <f t="shared" si="1"/>
        <v>0</v>
      </c>
      <c r="S49" s="255">
        <f t="shared" si="0"/>
        <v>2133.4</v>
      </c>
      <c r="T49" s="268"/>
    </row>
    <row r="50" spans="1:20" ht="68.25" customHeight="1" x14ac:dyDescent="0.25">
      <c r="A50" s="269"/>
      <c r="B50" s="270" t="s">
        <v>305</v>
      </c>
      <c r="C50" s="75"/>
      <c r="D50" s="254" t="s">
        <v>18</v>
      </c>
      <c r="E50" s="254" t="s">
        <v>272</v>
      </c>
      <c r="F50" s="254" t="s">
        <v>306</v>
      </c>
      <c r="G50" s="254" t="s">
        <v>276</v>
      </c>
      <c r="H50" s="262">
        <v>20.5</v>
      </c>
      <c r="I50" s="262">
        <v>0</v>
      </c>
      <c r="J50" s="262">
        <v>0</v>
      </c>
      <c r="K50" s="262"/>
      <c r="L50" s="262"/>
      <c r="M50" s="262"/>
      <c r="N50" s="262"/>
      <c r="O50" s="262"/>
      <c r="P50" s="255">
        <f>O50</f>
        <v>0</v>
      </c>
      <c r="Q50" s="255">
        <f t="shared" si="2"/>
        <v>0</v>
      </c>
      <c r="R50" s="255">
        <f t="shared" si="1"/>
        <v>0</v>
      </c>
      <c r="S50" s="255">
        <f t="shared" si="0"/>
        <v>20.5</v>
      </c>
      <c r="T50" s="271"/>
    </row>
    <row r="51" spans="1:20" ht="33.75" customHeight="1" x14ac:dyDescent="0.25">
      <c r="A51" s="265" t="s">
        <v>123</v>
      </c>
      <c r="B51" s="272" t="s">
        <v>307</v>
      </c>
      <c r="C51" s="40" t="s">
        <v>271</v>
      </c>
      <c r="D51" s="254" t="s">
        <v>18</v>
      </c>
      <c r="E51" s="254" t="s">
        <v>272</v>
      </c>
      <c r="F51" s="254" t="s">
        <v>308</v>
      </c>
      <c r="G51" s="254" t="s">
        <v>276</v>
      </c>
      <c r="H51" s="262">
        <v>3.4</v>
      </c>
      <c r="I51" s="262">
        <v>3.4</v>
      </c>
      <c r="J51" s="262"/>
      <c r="K51" s="262"/>
      <c r="L51" s="262"/>
      <c r="M51" s="262"/>
      <c r="N51" s="262"/>
      <c r="O51" s="262"/>
      <c r="P51" s="255">
        <f>O51</f>
        <v>0</v>
      </c>
      <c r="Q51" s="255">
        <f t="shared" si="2"/>
        <v>0</v>
      </c>
      <c r="R51" s="255">
        <f t="shared" si="1"/>
        <v>0</v>
      </c>
      <c r="S51" s="255">
        <f t="shared" si="0"/>
        <v>6.8</v>
      </c>
      <c r="T51" s="41"/>
    </row>
    <row r="52" spans="1:20" ht="38.25" customHeight="1" x14ac:dyDescent="0.25">
      <c r="A52" s="269"/>
      <c r="B52" s="273"/>
      <c r="C52" s="75"/>
      <c r="D52" s="274" t="s">
        <v>18</v>
      </c>
      <c r="E52" s="274" t="s">
        <v>272</v>
      </c>
      <c r="F52" s="254" t="s">
        <v>308</v>
      </c>
      <c r="G52" s="254" t="s">
        <v>278</v>
      </c>
      <c r="H52" s="262">
        <v>0.6</v>
      </c>
      <c r="I52" s="262">
        <v>0.6</v>
      </c>
      <c r="J52" s="262"/>
      <c r="K52" s="262"/>
      <c r="L52" s="262"/>
      <c r="M52" s="262"/>
      <c r="N52" s="262"/>
      <c r="O52" s="262"/>
      <c r="P52" s="255">
        <f>O52</f>
        <v>0</v>
      </c>
      <c r="Q52" s="255">
        <f t="shared" si="2"/>
        <v>0</v>
      </c>
      <c r="R52" s="255">
        <f t="shared" si="1"/>
        <v>0</v>
      </c>
      <c r="S52" s="255">
        <f t="shared" si="0"/>
        <v>1.2</v>
      </c>
      <c r="T52" s="44"/>
    </row>
    <row r="53" spans="1:20" ht="38.25" customHeight="1" x14ac:dyDescent="0.25">
      <c r="A53" s="275" t="s">
        <v>126</v>
      </c>
      <c r="B53" s="276" t="s">
        <v>309</v>
      </c>
      <c r="C53" s="40" t="s">
        <v>271</v>
      </c>
      <c r="D53" s="274" t="s">
        <v>18</v>
      </c>
      <c r="E53" s="274" t="s">
        <v>310</v>
      </c>
      <c r="F53" s="254" t="s">
        <v>311</v>
      </c>
      <c r="G53" s="254" t="s">
        <v>312</v>
      </c>
      <c r="H53" s="262">
        <v>2490.8000000000002</v>
      </c>
      <c r="I53" s="262">
        <v>2975.5</v>
      </c>
      <c r="J53" s="262">
        <v>5157.1000000000004</v>
      </c>
      <c r="K53" s="262">
        <v>3953.2</v>
      </c>
      <c r="L53" s="262">
        <f>3232.2-682.5</f>
        <v>2549.6999999999998</v>
      </c>
      <c r="M53" s="262">
        <v>3541.5</v>
      </c>
      <c r="N53" s="262">
        <v>1724.1</v>
      </c>
      <c r="O53" s="262">
        <v>1824</v>
      </c>
      <c r="P53" s="262">
        <v>3336.7</v>
      </c>
      <c r="Q53" s="255">
        <f t="shared" si="2"/>
        <v>3336.7</v>
      </c>
      <c r="R53" s="255">
        <f t="shared" si="1"/>
        <v>3336.7</v>
      </c>
      <c r="S53" s="255">
        <f t="shared" si="0"/>
        <v>34226</v>
      </c>
      <c r="T53" s="41" t="s">
        <v>313</v>
      </c>
    </row>
    <row r="54" spans="1:20" ht="42" customHeight="1" x14ac:dyDescent="0.25">
      <c r="A54" s="277"/>
      <c r="B54" s="278"/>
      <c r="C54" s="75"/>
      <c r="D54" s="274" t="s">
        <v>18</v>
      </c>
      <c r="E54" s="274" t="s">
        <v>310</v>
      </c>
      <c r="F54" s="254" t="s">
        <v>311</v>
      </c>
      <c r="G54" s="254" t="s">
        <v>314</v>
      </c>
      <c r="H54" s="262">
        <v>27</v>
      </c>
      <c r="I54" s="262"/>
      <c r="J54" s="262"/>
      <c r="K54" s="262"/>
      <c r="L54" s="262"/>
      <c r="M54" s="262"/>
      <c r="N54" s="262"/>
      <c r="O54" s="262"/>
      <c r="P54" s="255">
        <f>O54</f>
        <v>0</v>
      </c>
      <c r="Q54" s="255">
        <f t="shared" si="2"/>
        <v>0</v>
      </c>
      <c r="R54" s="255">
        <f t="shared" si="1"/>
        <v>0</v>
      </c>
      <c r="S54" s="255">
        <f t="shared" si="0"/>
        <v>27</v>
      </c>
      <c r="T54" s="44"/>
    </row>
    <row r="55" spans="1:20" ht="25.5" customHeight="1" x14ac:dyDescent="0.25">
      <c r="A55" s="275" t="s">
        <v>315</v>
      </c>
      <c r="B55" s="40" t="s">
        <v>316</v>
      </c>
      <c r="C55" s="40" t="s">
        <v>271</v>
      </c>
      <c r="D55" s="254" t="s">
        <v>18</v>
      </c>
      <c r="E55" s="274" t="s">
        <v>272</v>
      </c>
      <c r="F55" s="274" t="s">
        <v>317</v>
      </c>
      <c r="G55" s="254" t="s">
        <v>276</v>
      </c>
      <c r="H55" s="262">
        <v>274.89999999999998</v>
      </c>
      <c r="I55" s="262">
        <v>279.10000000000002</v>
      </c>
      <c r="J55" s="262">
        <v>474.8</v>
      </c>
      <c r="K55" s="262">
        <v>380</v>
      </c>
      <c r="L55" s="262">
        <v>522.29999999999995</v>
      </c>
      <c r="M55" s="262">
        <v>301.3</v>
      </c>
      <c r="N55" s="262">
        <v>218.9</v>
      </c>
      <c r="O55" s="262">
        <v>376.1</v>
      </c>
      <c r="P55" s="262">
        <v>491</v>
      </c>
      <c r="Q55" s="255">
        <f t="shared" si="2"/>
        <v>491</v>
      </c>
      <c r="R55" s="255">
        <f t="shared" si="1"/>
        <v>491</v>
      </c>
      <c r="S55" s="255">
        <f t="shared" si="0"/>
        <v>4300.3999999999996</v>
      </c>
      <c r="T55" s="41" t="s">
        <v>318</v>
      </c>
    </row>
    <row r="56" spans="1:20" ht="25.5" customHeight="1" x14ac:dyDescent="0.25">
      <c r="A56" s="277"/>
      <c r="B56" s="42"/>
      <c r="C56" s="42"/>
      <c r="D56" s="254" t="s">
        <v>18</v>
      </c>
      <c r="E56" s="274" t="s">
        <v>272</v>
      </c>
      <c r="F56" s="274" t="s">
        <v>317</v>
      </c>
      <c r="G56" s="254" t="s">
        <v>278</v>
      </c>
      <c r="H56" s="262">
        <v>19</v>
      </c>
      <c r="I56" s="262">
        <v>25.1</v>
      </c>
      <c r="J56" s="262">
        <v>36.799999999999997</v>
      </c>
      <c r="K56" s="262">
        <v>52.6</v>
      </c>
      <c r="L56" s="262">
        <v>76.7</v>
      </c>
      <c r="M56" s="262">
        <v>19.2</v>
      </c>
      <c r="N56" s="262">
        <v>87</v>
      </c>
      <c r="O56" s="262">
        <v>55.4</v>
      </c>
      <c r="P56" s="262">
        <v>42.7</v>
      </c>
      <c r="Q56" s="255">
        <f t="shared" si="2"/>
        <v>42.7</v>
      </c>
      <c r="R56" s="255">
        <f t="shared" si="1"/>
        <v>42.7</v>
      </c>
      <c r="S56" s="255">
        <f t="shared" si="0"/>
        <v>499.89999999999992</v>
      </c>
      <c r="T56" s="44"/>
    </row>
    <row r="57" spans="1:20" ht="25.5" customHeight="1" x14ac:dyDescent="0.25">
      <c r="A57" s="279"/>
      <c r="B57" s="75"/>
      <c r="C57" s="75"/>
      <c r="D57" s="254" t="s">
        <v>18</v>
      </c>
      <c r="E57" s="274" t="s">
        <v>272</v>
      </c>
      <c r="F57" s="274" t="s">
        <v>317</v>
      </c>
      <c r="G57" s="254" t="s">
        <v>282</v>
      </c>
      <c r="H57" s="262"/>
      <c r="I57" s="262"/>
      <c r="J57" s="262"/>
      <c r="K57" s="262"/>
      <c r="L57" s="262"/>
      <c r="M57" s="262"/>
      <c r="N57" s="262"/>
      <c r="O57" s="262"/>
      <c r="P57" s="262">
        <v>192.1</v>
      </c>
      <c r="Q57" s="255">
        <f t="shared" si="2"/>
        <v>192.1</v>
      </c>
      <c r="R57" s="255">
        <f t="shared" si="1"/>
        <v>192.1</v>
      </c>
      <c r="S57" s="255">
        <f t="shared" si="0"/>
        <v>576.29999999999995</v>
      </c>
      <c r="T57" s="280"/>
    </row>
    <row r="58" spans="1:20" ht="33" customHeight="1" x14ac:dyDescent="0.25">
      <c r="A58" s="275" t="s">
        <v>319</v>
      </c>
      <c r="B58" s="276" t="s">
        <v>320</v>
      </c>
      <c r="C58" s="40" t="s">
        <v>271</v>
      </c>
      <c r="D58" s="252" t="s">
        <v>18</v>
      </c>
      <c r="E58" s="254" t="s">
        <v>272</v>
      </c>
      <c r="F58" s="254" t="s">
        <v>321</v>
      </c>
      <c r="G58" s="254" t="s">
        <v>276</v>
      </c>
      <c r="H58" s="262">
        <v>4242.3</v>
      </c>
      <c r="I58" s="262">
        <v>0</v>
      </c>
      <c r="J58" s="262"/>
      <c r="K58" s="262"/>
      <c r="L58" s="262"/>
      <c r="M58" s="262"/>
      <c r="N58" s="262"/>
      <c r="O58" s="262"/>
      <c r="P58" s="255">
        <f t="shared" ref="P58:P64" si="3">O58</f>
        <v>0</v>
      </c>
      <c r="Q58" s="255">
        <f t="shared" si="2"/>
        <v>0</v>
      </c>
      <c r="R58" s="255">
        <f t="shared" si="1"/>
        <v>0</v>
      </c>
      <c r="S58" s="255">
        <f t="shared" si="0"/>
        <v>4242.3</v>
      </c>
      <c r="T58" s="41" t="s">
        <v>322</v>
      </c>
    </row>
    <row r="59" spans="1:20" ht="33.75" customHeight="1" x14ac:dyDescent="0.25">
      <c r="A59" s="277"/>
      <c r="B59" s="278"/>
      <c r="C59" s="42"/>
      <c r="D59" s="259"/>
      <c r="E59" s="254" t="s">
        <v>272</v>
      </c>
      <c r="F59" s="254" t="s">
        <v>323</v>
      </c>
      <c r="G59" s="254" t="s">
        <v>276</v>
      </c>
      <c r="H59" s="262">
        <v>15008.8</v>
      </c>
      <c r="I59" s="262"/>
      <c r="J59" s="262"/>
      <c r="K59" s="262"/>
      <c r="L59" s="262"/>
      <c r="M59" s="262"/>
      <c r="N59" s="262"/>
      <c r="O59" s="262"/>
      <c r="P59" s="255">
        <f t="shared" si="3"/>
        <v>0</v>
      </c>
      <c r="Q59" s="255">
        <f t="shared" si="2"/>
        <v>0</v>
      </c>
      <c r="R59" s="255">
        <f t="shared" si="1"/>
        <v>0</v>
      </c>
      <c r="S59" s="255">
        <f t="shared" si="0"/>
        <v>15008.8</v>
      </c>
      <c r="T59" s="44"/>
    </row>
    <row r="60" spans="1:20" ht="25.5" customHeight="1" x14ac:dyDescent="0.25">
      <c r="A60" s="281" t="s">
        <v>324</v>
      </c>
      <c r="B60" s="282" t="s">
        <v>325</v>
      </c>
      <c r="C60" s="75"/>
      <c r="D60" s="254" t="s">
        <v>18</v>
      </c>
      <c r="E60" s="254" t="s">
        <v>272</v>
      </c>
      <c r="F60" s="254" t="s">
        <v>326</v>
      </c>
      <c r="G60" s="254" t="s">
        <v>276</v>
      </c>
      <c r="H60" s="262">
        <v>1500.9</v>
      </c>
      <c r="I60" s="262"/>
      <c r="J60" s="262"/>
      <c r="K60" s="262"/>
      <c r="L60" s="262"/>
      <c r="M60" s="262"/>
      <c r="N60" s="262"/>
      <c r="O60" s="262"/>
      <c r="P60" s="255">
        <f t="shared" si="3"/>
        <v>0</v>
      </c>
      <c r="Q60" s="255">
        <f t="shared" si="2"/>
        <v>0</v>
      </c>
      <c r="R60" s="255">
        <f t="shared" si="1"/>
        <v>0</v>
      </c>
      <c r="S60" s="255">
        <f t="shared" si="0"/>
        <v>1500.9</v>
      </c>
      <c r="T60" s="283"/>
    </row>
    <row r="61" spans="1:20" ht="53.25" customHeight="1" x14ac:dyDescent="0.25">
      <c r="A61" s="275" t="s">
        <v>327</v>
      </c>
      <c r="B61" s="276" t="s">
        <v>328</v>
      </c>
      <c r="C61" s="40" t="s">
        <v>271</v>
      </c>
      <c r="D61" s="254" t="s">
        <v>18</v>
      </c>
      <c r="E61" s="254" t="s">
        <v>272</v>
      </c>
      <c r="F61" s="254" t="s">
        <v>329</v>
      </c>
      <c r="G61" s="254" t="s">
        <v>278</v>
      </c>
      <c r="H61" s="262">
        <v>2</v>
      </c>
      <c r="I61" s="262"/>
      <c r="J61" s="262"/>
      <c r="K61" s="262"/>
      <c r="L61" s="262"/>
      <c r="M61" s="262"/>
      <c r="N61" s="262"/>
      <c r="O61" s="262"/>
      <c r="P61" s="255">
        <f t="shared" si="3"/>
        <v>0</v>
      </c>
      <c r="Q61" s="255">
        <f t="shared" si="2"/>
        <v>0</v>
      </c>
      <c r="R61" s="255">
        <f t="shared" si="1"/>
        <v>0</v>
      </c>
      <c r="S61" s="255">
        <f t="shared" si="0"/>
        <v>2</v>
      </c>
      <c r="T61" s="41" t="s">
        <v>330</v>
      </c>
    </row>
    <row r="62" spans="1:20" ht="66.75" customHeight="1" x14ac:dyDescent="0.25">
      <c r="A62" s="277"/>
      <c r="B62" s="278"/>
      <c r="C62" s="75"/>
      <c r="D62" s="254" t="s">
        <v>18</v>
      </c>
      <c r="E62" s="254" t="s">
        <v>272</v>
      </c>
      <c r="F62" s="254" t="s">
        <v>329</v>
      </c>
      <c r="G62" s="254" t="s">
        <v>276</v>
      </c>
      <c r="H62" s="262">
        <v>3</v>
      </c>
      <c r="I62" s="262"/>
      <c r="J62" s="262"/>
      <c r="K62" s="262"/>
      <c r="L62" s="262"/>
      <c r="M62" s="262"/>
      <c r="N62" s="262"/>
      <c r="O62" s="262"/>
      <c r="P62" s="255">
        <f t="shared" si="3"/>
        <v>0</v>
      </c>
      <c r="Q62" s="255">
        <f t="shared" si="2"/>
        <v>0</v>
      </c>
      <c r="R62" s="255">
        <f t="shared" si="1"/>
        <v>0</v>
      </c>
      <c r="S62" s="255">
        <f t="shared" si="0"/>
        <v>3</v>
      </c>
      <c r="T62" s="44"/>
    </row>
    <row r="63" spans="1:20" ht="32.25" customHeight="1" x14ac:dyDescent="0.25">
      <c r="A63" s="284" t="s">
        <v>331</v>
      </c>
      <c r="B63" s="41" t="s">
        <v>332</v>
      </c>
      <c r="C63" s="40" t="s">
        <v>271</v>
      </c>
      <c r="D63" s="254" t="s">
        <v>18</v>
      </c>
      <c r="E63" s="254" t="s">
        <v>333</v>
      </c>
      <c r="F63" s="254" t="s">
        <v>334</v>
      </c>
      <c r="G63" s="12">
        <v>622</v>
      </c>
      <c r="H63" s="262">
        <v>13</v>
      </c>
      <c r="I63" s="262">
        <v>13</v>
      </c>
      <c r="J63" s="285"/>
      <c r="K63" s="285"/>
      <c r="L63" s="285"/>
      <c r="M63" s="285"/>
      <c r="N63" s="285"/>
      <c r="O63" s="285"/>
      <c r="P63" s="255">
        <f t="shared" si="3"/>
        <v>0</v>
      </c>
      <c r="Q63" s="255">
        <f t="shared" si="2"/>
        <v>0</v>
      </c>
      <c r="R63" s="255">
        <f t="shared" si="1"/>
        <v>0</v>
      </c>
      <c r="S63" s="255">
        <f t="shared" si="0"/>
        <v>26</v>
      </c>
      <c r="T63" s="41" t="s">
        <v>335</v>
      </c>
    </row>
    <row r="64" spans="1:20" ht="25.5" customHeight="1" x14ac:dyDescent="0.25">
      <c r="A64" s="284"/>
      <c r="B64" s="44"/>
      <c r="C64" s="75"/>
      <c r="D64" s="254" t="s">
        <v>18</v>
      </c>
      <c r="E64" s="254" t="s">
        <v>333</v>
      </c>
      <c r="F64" s="254" t="s">
        <v>334</v>
      </c>
      <c r="G64" s="12">
        <v>244</v>
      </c>
      <c r="H64" s="262"/>
      <c r="I64" s="262"/>
      <c r="J64" s="262"/>
      <c r="K64" s="262"/>
      <c r="L64" s="262"/>
      <c r="M64" s="262"/>
      <c r="N64" s="262"/>
      <c r="O64" s="262"/>
      <c r="P64" s="255">
        <f t="shared" si="3"/>
        <v>0</v>
      </c>
      <c r="Q64" s="255">
        <f t="shared" si="2"/>
        <v>0</v>
      </c>
      <c r="R64" s="255">
        <f t="shared" si="1"/>
        <v>0</v>
      </c>
      <c r="S64" s="255">
        <f t="shared" si="0"/>
        <v>0</v>
      </c>
      <c r="T64" s="286"/>
    </row>
    <row r="65" spans="1:20" ht="25.5" customHeight="1" x14ac:dyDescent="0.25">
      <c r="A65" s="287" t="s">
        <v>336</v>
      </c>
      <c r="B65" s="288"/>
      <c r="C65" s="289"/>
      <c r="D65" s="289"/>
      <c r="E65" s="290"/>
      <c r="F65" s="289"/>
      <c r="G65" s="289"/>
      <c r="H65" s="262">
        <f t="shared" ref="H65:N65" si="4">SUM(H7:H64)</f>
        <v>198091.59999999992</v>
      </c>
      <c r="I65" s="262">
        <f t="shared" si="4"/>
        <v>204824.59999999998</v>
      </c>
      <c r="J65" s="262">
        <f t="shared" si="4"/>
        <v>219030.49999999997</v>
      </c>
      <c r="K65" s="262">
        <f t="shared" si="4"/>
        <v>218633.10000000003</v>
      </c>
      <c r="L65" s="262">
        <f t="shared" si="4"/>
        <v>229336.90000000002</v>
      </c>
      <c r="M65" s="262">
        <f t="shared" si="4"/>
        <v>267495.39999999997</v>
      </c>
      <c r="N65" s="262">
        <f t="shared" si="4"/>
        <v>275550.39999999997</v>
      </c>
      <c r="O65" s="262">
        <f>SUM(O7:O64)</f>
        <v>310856.80000000005</v>
      </c>
      <c r="P65" s="262">
        <f>SUM(P7:P64)</f>
        <v>341628.20000000007</v>
      </c>
      <c r="Q65" s="262">
        <f>SUM(Q7:Q64)</f>
        <v>308975.59999999998</v>
      </c>
      <c r="R65" s="255">
        <f t="shared" si="1"/>
        <v>308975.59999999998</v>
      </c>
      <c r="S65" s="255">
        <f t="shared" si="0"/>
        <v>2883398.6999999997</v>
      </c>
      <c r="T65" s="37"/>
    </row>
    <row r="66" spans="1:20" ht="25.5" customHeight="1" x14ac:dyDescent="0.25">
      <c r="A66" s="287" t="s">
        <v>337</v>
      </c>
      <c r="B66" s="288"/>
      <c r="C66" s="291"/>
      <c r="D66" s="291"/>
      <c r="E66" s="291"/>
      <c r="F66" s="291"/>
      <c r="G66" s="291"/>
      <c r="H66" s="262">
        <f t="shared" ref="H66:M66" si="5">H65</f>
        <v>198091.59999999992</v>
      </c>
      <c r="I66" s="262">
        <f t="shared" si="5"/>
        <v>204824.59999999998</v>
      </c>
      <c r="J66" s="262">
        <f t="shared" si="5"/>
        <v>219030.49999999997</v>
      </c>
      <c r="K66" s="262">
        <f t="shared" si="5"/>
        <v>218633.10000000003</v>
      </c>
      <c r="L66" s="262">
        <f t="shared" si="5"/>
        <v>229336.90000000002</v>
      </c>
      <c r="M66" s="262">
        <f t="shared" si="5"/>
        <v>267495.39999999997</v>
      </c>
      <c r="N66" s="262">
        <f>N65</f>
        <v>275550.39999999997</v>
      </c>
      <c r="O66" s="262">
        <f>O65</f>
        <v>310856.80000000005</v>
      </c>
      <c r="P66" s="262">
        <f>P65</f>
        <v>341628.20000000007</v>
      </c>
      <c r="Q66" s="255">
        <f>Q65</f>
        <v>308975.59999999998</v>
      </c>
      <c r="R66" s="255">
        <f>R65</f>
        <v>308975.59999999998</v>
      </c>
      <c r="S66" s="255">
        <f t="shared" si="0"/>
        <v>2883398.6999999997</v>
      </c>
      <c r="T66" s="37"/>
    </row>
    <row r="67" spans="1:20" ht="25.5" customHeight="1" x14ac:dyDescent="0.25">
      <c r="A67" s="287" t="s">
        <v>338</v>
      </c>
      <c r="B67" s="288"/>
      <c r="C67" s="291" t="s">
        <v>338</v>
      </c>
      <c r="D67" s="291"/>
      <c r="E67" s="291"/>
      <c r="F67" s="291"/>
      <c r="G67" s="291"/>
      <c r="H67" s="262">
        <f>H24+H25+H26+H27+H28+H29+H30+H31+H32+H33+H34+H36+H43+H44+H46+H47+H53+H54+H55+H56+H58+H59</f>
        <v>92552.900000000023</v>
      </c>
      <c r="I67" s="262">
        <f>I24+I25+I26+I27+I28+I29+I30+I31+I32+I33+I34+I36+I43+I44+I46+I47+I53+I54+I55+I56+I58+I59</f>
        <v>81485.8</v>
      </c>
      <c r="J67" s="262">
        <f>J24+J25+J26+J27+J28+J29+J30+J31+J32+J33+J34+J36+J43+J44+J46+J47+J53+J54+J55+J56+J58+J59</f>
        <v>116158.70000000001</v>
      </c>
      <c r="K67" s="262">
        <f>K24+K25+K26+K27+K28+K29+K30+K31+K32+K33+K34+K36+K43+K44+K46+K47+K53+K54+K55+K56+K58+K59+K42</f>
        <v>122752.3</v>
      </c>
      <c r="L67" s="262">
        <f>L24+L25+L26+L27+L28+L29+L30+L31+L32+L33+L34+L36+L43+L44+L46+L47+L53+L54+L55+L56+L58+L59+L37+L38</f>
        <v>129296.8</v>
      </c>
      <c r="M67" s="262">
        <f>M24+M25+M26+M27+M28+M29+M30+M31+M32+M33+M34+M36+M43+M44+M46+M47+M53+M54+M55+M56+M58+M59+M37+M38+M21</f>
        <v>147632</v>
      </c>
      <c r="N67" s="262">
        <f>N24+N25+N26+N27+N28+N29+N30+N31+N32+N33+N34+N36+N43+N44+N46+N47+N53+N54+N55+N56+N58+N59+N37+N38+N49+N48+N39+N40</f>
        <v>168234.09999999998</v>
      </c>
      <c r="O67" s="262">
        <f>O24+O25+O26+O27+O28+O29+O30+O31+O32+O33+O34+O36+O43+O44+O46+O47+O53+O54+O55+O56+O58+O59+O42</f>
        <v>174939.2</v>
      </c>
      <c r="P67" s="262">
        <f>P24+P25+P26+P27+P28+P29+P30+P31+P32+P33+P34+P36+P41+P43+P44+P46+P47+P53+P54+P55+P56+P58+P59+P35+P57</f>
        <v>201295.6</v>
      </c>
      <c r="Q67" s="262">
        <f>Q24+Q25+Q26+Q27+Q28+Q29+Q30+Q31+Q32+Q33+Q34+Q36+Q43+Q44+Q46+Q47+Q53+Q54+Q55+Q56+Q58+Q59+Q35+Q57</f>
        <v>177478.70000000007</v>
      </c>
      <c r="R67" s="262">
        <f>R24+R25+R26+R27+R28+R29+R30+R31+R32+R33+R34+R36+R43+R44+R46+R47+R53+R54+R55+R56+R58+R59+R35+R57</f>
        <v>177478.70000000007</v>
      </c>
      <c r="S67" s="255">
        <f t="shared" si="0"/>
        <v>1589304.8000000003</v>
      </c>
      <c r="T67" s="37"/>
    </row>
    <row r="68" spans="1:20" ht="25.5" customHeight="1" x14ac:dyDescent="0.25">
      <c r="A68" s="287" t="s">
        <v>339</v>
      </c>
      <c r="B68" s="288"/>
      <c r="C68" s="291" t="s">
        <v>339</v>
      </c>
      <c r="D68" s="291"/>
      <c r="E68" s="291"/>
      <c r="F68" s="291"/>
      <c r="G68" s="291"/>
      <c r="H68" s="262">
        <f>H7+H8+H9+H10+H18+H19+H21+H23+H50+H51+H52+H60+H61+H62+H63+H64</f>
        <v>92376.4</v>
      </c>
      <c r="I68" s="262">
        <f>I7+I8+I9+I10+I18+I19+I21+I23+I50+I51+I52+I60+I61+I62+I63+I64</f>
        <v>110895</v>
      </c>
      <c r="J68" s="262">
        <f>J7+J8+J9+J10+J18+J19+J21+J23+J50+J51+J52+J60+J61+J62+J63+J64</f>
        <v>86284.2</v>
      </c>
      <c r="K68" s="262">
        <f>K7+K8+K9+K10+K18+K19+K21+K23+K50+K51+K52+K60+K61+K62+K63+K64</f>
        <v>76465.3</v>
      </c>
      <c r="L68" s="262">
        <f>L7+L8+L9+L10+L18+L19+L21+L23+L50+L51+L52+L60+L61+L62+L63+L64</f>
        <v>78788.700000000012</v>
      </c>
      <c r="M68" s="262">
        <f>M7+M8+M9+M10+M18+M19+M23+M50+M51+M52+M60+M61+M62+M63+M64+M20</f>
        <v>99489.9</v>
      </c>
      <c r="N68" s="262">
        <f>N7+N8+N9+N10+N18+N19+N21+N23+N50+N51+N52+N60+N61+N62+N63+N64+N20</f>
        <v>92286.7</v>
      </c>
      <c r="O68" s="262">
        <f>O7+O8+O9+O10+O18+O19+O21+O23+O50+O51+O52+O60+O61+O62+O63+O64+O20+O11+O12+O13+O14+O15+O16+O17</f>
        <v>115743.3</v>
      </c>
      <c r="P68" s="262">
        <f>P7+P8+P9+P10+P18+P19+P21+P22+P23+P50+P51+P52+P60+P61+P62+P63+P64+P20+P11+P12+P13+P14+P15+P16+P17</f>
        <v>121009.60000000001</v>
      </c>
      <c r="Q68" s="262">
        <f>Q7+Q8+Q9+Q10+Q18+Q19+Q21+Q23+Q50+Q51+Q52+Q60+Q61+Q62+Q63+Q64+Q20+Q11+Q12+Q13+Q14+Q15+Q16+Q17</f>
        <v>111400.40000000001</v>
      </c>
      <c r="R68" s="262">
        <f>R7+R8+R9+R10+R18+R19+R21+R23+R50+R51+R52+R60+R61+R62+R63+R64+R20+R11+R12+R13+R14+R15+R16+R17</f>
        <v>111400.40000000001</v>
      </c>
      <c r="S68" s="255">
        <f t="shared" si="0"/>
        <v>1096139.8999999999</v>
      </c>
      <c r="T68" s="37"/>
    </row>
    <row r="69" spans="1:20" ht="25.5" customHeight="1" x14ac:dyDescent="0.25">
      <c r="A69" s="287" t="s">
        <v>340</v>
      </c>
      <c r="B69" s="288"/>
      <c r="C69" s="291" t="s">
        <v>340</v>
      </c>
      <c r="D69" s="291"/>
      <c r="E69" s="291"/>
      <c r="F69" s="291"/>
      <c r="G69" s="291"/>
      <c r="H69" s="262">
        <f t="shared" ref="H69:P69" si="6">H45</f>
        <v>13162.3</v>
      </c>
      <c r="I69" s="262">
        <f t="shared" si="6"/>
        <v>12443.8</v>
      </c>
      <c r="J69" s="262">
        <f t="shared" si="6"/>
        <v>16587.599999999999</v>
      </c>
      <c r="K69" s="262">
        <f t="shared" si="6"/>
        <v>19415.5</v>
      </c>
      <c r="L69" s="262">
        <f t="shared" si="6"/>
        <v>21251.4</v>
      </c>
      <c r="M69" s="262">
        <f t="shared" si="6"/>
        <v>20373.5</v>
      </c>
      <c r="N69" s="262">
        <f t="shared" si="6"/>
        <v>15029.6</v>
      </c>
      <c r="O69" s="262">
        <f t="shared" si="6"/>
        <v>20174.3</v>
      </c>
      <c r="P69" s="262">
        <f t="shared" si="6"/>
        <v>19323</v>
      </c>
      <c r="Q69" s="262">
        <v>20096.5</v>
      </c>
      <c r="R69" s="255">
        <f t="shared" si="1"/>
        <v>20096.5</v>
      </c>
      <c r="S69" s="255">
        <f t="shared" si="0"/>
        <v>197954</v>
      </c>
      <c r="T69" s="37"/>
    </row>
    <row r="70" spans="1:20" s="295" customFormat="1" ht="25.5" customHeight="1" x14ac:dyDescent="0.25">
      <c r="A70" s="292"/>
      <c r="B70" s="292"/>
      <c r="C70" s="293"/>
      <c r="D70" s="293"/>
      <c r="E70" s="293"/>
      <c r="F70" s="293"/>
      <c r="G70" s="293"/>
      <c r="H70" s="293"/>
      <c r="I70" s="294"/>
      <c r="J70" s="294"/>
      <c r="K70" s="206"/>
      <c r="L70" s="206"/>
      <c r="M70" s="206"/>
      <c r="N70" s="206"/>
      <c r="O70" s="206"/>
      <c r="P70" s="206"/>
      <c r="Q70" s="206"/>
      <c r="R70" s="206"/>
      <c r="S70" s="206"/>
      <c r="T70" s="206"/>
    </row>
    <row r="71" spans="1:20" s="206" customFormat="1" ht="25.5" customHeight="1" x14ac:dyDescent="0.25">
      <c r="A71" s="296"/>
      <c r="B71" s="296"/>
      <c r="C71" s="297"/>
      <c r="D71" s="297"/>
      <c r="E71" s="297"/>
      <c r="F71" s="297"/>
      <c r="G71" s="297"/>
      <c r="H71" s="297"/>
      <c r="I71" s="297"/>
      <c r="J71" s="297"/>
      <c r="K71" s="297"/>
      <c r="S71" s="298"/>
    </row>
    <row r="72" spans="1:20" ht="25.5" customHeight="1" x14ac:dyDescent="0.25">
      <c r="A72" s="299" t="s">
        <v>341</v>
      </c>
      <c r="B72" s="299"/>
      <c r="C72" s="299"/>
      <c r="D72" s="300"/>
      <c r="E72" s="300"/>
      <c r="F72" s="300"/>
      <c r="G72" s="300"/>
      <c r="H72" s="300"/>
      <c r="I72" s="301"/>
      <c r="T72" s="301" t="s">
        <v>342</v>
      </c>
    </row>
    <row r="73" spans="1:20" ht="25.5" customHeight="1" x14ac:dyDescent="0.25">
      <c r="A73" s="302"/>
      <c r="B73" s="303"/>
      <c r="C73" s="304"/>
      <c r="D73" s="304"/>
      <c r="E73" s="304"/>
      <c r="F73" s="304"/>
      <c r="G73" s="304"/>
      <c r="H73" s="304"/>
    </row>
    <row r="74" spans="1:20" ht="25.5" customHeight="1" x14ac:dyDescent="0.25">
      <c r="A74" s="302"/>
      <c r="B74" s="303"/>
      <c r="C74" s="304"/>
      <c r="D74" s="304"/>
      <c r="E74" s="304"/>
      <c r="F74" s="304"/>
      <c r="G74" s="304"/>
      <c r="H74" s="304"/>
    </row>
    <row r="75" spans="1:20" ht="25.5" customHeight="1" x14ac:dyDescent="0.25">
      <c r="A75" s="302"/>
      <c r="B75" s="303"/>
      <c r="C75" s="304"/>
      <c r="D75" s="304"/>
      <c r="E75" s="304"/>
      <c r="F75" s="304"/>
      <c r="G75" s="304"/>
      <c r="H75" s="304"/>
    </row>
    <row r="76" spans="1:20" ht="25.5" customHeight="1" x14ac:dyDescent="0.25">
      <c r="A76" s="302"/>
      <c r="B76" s="303"/>
      <c r="C76" s="304"/>
      <c r="D76" s="304"/>
      <c r="E76" s="304"/>
      <c r="F76" s="304"/>
      <c r="G76" s="304"/>
      <c r="H76" s="304"/>
    </row>
    <row r="77" spans="1:20" ht="25.5" customHeight="1" x14ac:dyDescent="0.25">
      <c r="A77" s="302"/>
      <c r="B77" s="303"/>
      <c r="C77" s="304"/>
      <c r="D77" s="304"/>
      <c r="E77" s="304"/>
      <c r="F77" s="304"/>
      <c r="G77" s="304"/>
      <c r="H77" s="304"/>
    </row>
    <row r="78" spans="1:20" ht="25.5" customHeight="1" x14ac:dyDescent="0.25">
      <c r="A78" s="302"/>
      <c r="B78" s="303"/>
      <c r="C78" s="304"/>
      <c r="D78" s="304"/>
      <c r="E78" s="304"/>
      <c r="F78" s="304"/>
      <c r="G78" s="304"/>
      <c r="H78" s="304"/>
    </row>
    <row r="79" spans="1:20" ht="25.5" customHeight="1" x14ac:dyDescent="0.25">
      <c r="A79" s="302"/>
      <c r="B79" s="303"/>
      <c r="C79" s="304"/>
      <c r="D79" s="304"/>
      <c r="E79" s="304"/>
      <c r="F79" s="304"/>
      <c r="G79" s="304"/>
      <c r="H79" s="304"/>
    </row>
    <row r="80" spans="1:20" ht="25.5" customHeight="1" x14ac:dyDescent="0.25">
      <c r="A80" s="302"/>
      <c r="B80" s="303"/>
      <c r="C80" s="304"/>
      <c r="D80" s="304"/>
      <c r="E80" s="304"/>
      <c r="F80" s="304"/>
      <c r="G80" s="304"/>
      <c r="H80" s="304"/>
    </row>
    <row r="81" spans="1:8" ht="25.5" customHeight="1" x14ac:dyDescent="0.25">
      <c r="A81" s="302"/>
      <c r="B81" s="303"/>
      <c r="C81" s="304"/>
      <c r="D81" s="304"/>
      <c r="E81" s="304"/>
      <c r="F81" s="304"/>
      <c r="G81" s="304"/>
      <c r="H81" s="304"/>
    </row>
    <row r="82" spans="1:8" ht="25.5" customHeight="1" x14ac:dyDescent="0.25">
      <c r="A82" s="302"/>
      <c r="B82" s="303"/>
      <c r="C82" s="304"/>
      <c r="D82" s="304"/>
      <c r="E82" s="304"/>
      <c r="F82" s="304"/>
      <c r="G82" s="304"/>
      <c r="H82" s="304"/>
    </row>
    <row r="83" spans="1:8" ht="25.5" customHeight="1" x14ac:dyDescent="0.25">
      <c r="A83" s="302"/>
      <c r="B83" s="303"/>
      <c r="C83" s="304"/>
      <c r="D83" s="304"/>
      <c r="E83" s="304"/>
      <c r="F83" s="304"/>
      <c r="G83" s="304"/>
      <c r="H83" s="304"/>
    </row>
    <row r="84" spans="1:8" ht="25.5" customHeight="1" x14ac:dyDescent="0.25">
      <c r="A84" s="302"/>
      <c r="B84" s="303"/>
      <c r="C84" s="304"/>
      <c r="D84" s="304"/>
      <c r="E84" s="304"/>
      <c r="F84" s="304"/>
      <c r="G84" s="304"/>
      <c r="H84" s="304"/>
    </row>
    <row r="85" spans="1:8" ht="25.5" customHeight="1" x14ac:dyDescent="0.25">
      <c r="A85" s="302"/>
      <c r="B85" s="303"/>
      <c r="C85" s="304"/>
      <c r="D85" s="304"/>
      <c r="E85" s="304"/>
      <c r="F85" s="304"/>
      <c r="G85" s="304"/>
      <c r="H85" s="304"/>
    </row>
    <row r="86" spans="1:8" ht="25.5" customHeight="1" x14ac:dyDescent="0.25">
      <c r="A86" s="302"/>
      <c r="B86" s="303"/>
      <c r="C86" s="304"/>
      <c r="D86" s="304"/>
      <c r="E86" s="304"/>
      <c r="F86" s="304"/>
      <c r="G86" s="304"/>
      <c r="H86" s="304"/>
    </row>
    <row r="87" spans="1:8" ht="25.5" customHeight="1" x14ac:dyDescent="0.25">
      <c r="A87" s="302"/>
      <c r="B87" s="303"/>
      <c r="C87" s="304"/>
      <c r="D87" s="304"/>
      <c r="E87" s="304"/>
      <c r="F87" s="304"/>
      <c r="G87" s="304"/>
      <c r="H87" s="304"/>
    </row>
    <row r="88" spans="1:8" ht="25.5" customHeight="1" x14ac:dyDescent="0.25">
      <c r="A88" s="302"/>
      <c r="B88" s="303"/>
      <c r="C88" s="304"/>
      <c r="D88" s="304"/>
      <c r="E88" s="304"/>
      <c r="F88" s="304"/>
      <c r="G88" s="304"/>
      <c r="H88" s="304"/>
    </row>
    <row r="89" spans="1:8" ht="25.5" customHeight="1" x14ac:dyDescent="0.25">
      <c r="A89" s="302"/>
      <c r="B89" s="303"/>
      <c r="C89" s="304"/>
      <c r="D89" s="304"/>
      <c r="E89" s="304"/>
      <c r="F89" s="304"/>
      <c r="G89" s="304"/>
      <c r="H89" s="304"/>
    </row>
    <row r="90" spans="1:8" ht="25.5" customHeight="1" x14ac:dyDescent="0.25">
      <c r="A90" s="302"/>
      <c r="B90" s="303"/>
      <c r="C90" s="304"/>
      <c r="D90" s="304"/>
      <c r="E90" s="304"/>
      <c r="F90" s="304"/>
      <c r="G90" s="304"/>
      <c r="H90" s="304"/>
    </row>
    <row r="91" spans="1:8" ht="25.5" customHeight="1" x14ac:dyDescent="0.25">
      <c r="A91" s="302"/>
      <c r="B91" s="303"/>
      <c r="C91" s="304"/>
      <c r="D91" s="304"/>
      <c r="E91" s="304"/>
      <c r="F91" s="304"/>
      <c r="G91" s="304"/>
      <c r="H91" s="304"/>
    </row>
    <row r="92" spans="1:8" ht="25.5" customHeight="1" x14ac:dyDescent="0.25">
      <c r="A92" s="302"/>
      <c r="B92" s="303"/>
      <c r="C92" s="304"/>
      <c r="D92" s="304"/>
      <c r="E92" s="304"/>
      <c r="F92" s="304"/>
      <c r="G92" s="304"/>
      <c r="H92" s="304"/>
    </row>
    <row r="93" spans="1:8" ht="25.5" customHeight="1" x14ac:dyDescent="0.25">
      <c r="A93" s="302"/>
      <c r="B93" s="303"/>
      <c r="C93" s="304"/>
      <c r="D93" s="304"/>
      <c r="E93" s="304"/>
      <c r="F93" s="304"/>
      <c r="G93" s="304"/>
      <c r="H93" s="304"/>
    </row>
    <row r="94" spans="1:8" ht="25.5" customHeight="1" x14ac:dyDescent="0.25">
      <c r="A94" s="302"/>
      <c r="B94" s="303"/>
      <c r="C94" s="304"/>
      <c r="D94" s="304"/>
      <c r="E94" s="304"/>
      <c r="F94" s="304"/>
      <c r="G94" s="304"/>
      <c r="H94" s="304"/>
    </row>
    <row r="95" spans="1:8" ht="25.5" customHeight="1" x14ac:dyDescent="0.25">
      <c r="A95" s="302"/>
      <c r="B95" s="303"/>
      <c r="C95" s="304"/>
      <c r="D95" s="304"/>
      <c r="E95" s="304"/>
      <c r="F95" s="304"/>
      <c r="G95" s="304"/>
      <c r="H95" s="304"/>
    </row>
    <row r="96" spans="1:8" ht="25.5" customHeight="1" x14ac:dyDescent="0.25">
      <c r="A96" s="302"/>
      <c r="B96" s="303"/>
      <c r="C96" s="304"/>
      <c r="D96" s="304"/>
      <c r="E96" s="304"/>
      <c r="F96" s="304"/>
      <c r="G96" s="304"/>
      <c r="H96" s="304"/>
    </row>
    <row r="97" spans="1:8" ht="25.5" customHeight="1" x14ac:dyDescent="0.25">
      <c r="A97" s="302"/>
      <c r="B97" s="303"/>
      <c r="C97" s="304"/>
      <c r="D97" s="304"/>
      <c r="E97" s="304"/>
      <c r="F97" s="304"/>
      <c r="G97" s="304"/>
      <c r="H97" s="304"/>
    </row>
    <row r="98" spans="1:8" ht="25.5" customHeight="1" x14ac:dyDescent="0.25">
      <c r="A98" s="302"/>
      <c r="B98" s="303"/>
      <c r="C98" s="304"/>
      <c r="D98" s="304"/>
      <c r="E98" s="304"/>
      <c r="F98" s="304"/>
      <c r="G98" s="304"/>
      <c r="H98" s="304"/>
    </row>
    <row r="99" spans="1:8" ht="25.5" customHeight="1" x14ac:dyDescent="0.25">
      <c r="A99" s="302"/>
      <c r="B99" s="303"/>
      <c r="C99" s="304"/>
      <c r="D99" s="304"/>
      <c r="E99" s="304"/>
      <c r="F99" s="304"/>
      <c r="G99" s="304"/>
      <c r="H99" s="304"/>
    </row>
    <row r="100" spans="1:8" ht="25.5" customHeight="1" x14ac:dyDescent="0.25">
      <c r="A100" s="302"/>
      <c r="B100" s="303"/>
      <c r="C100" s="304"/>
      <c r="D100" s="304"/>
      <c r="E100" s="304"/>
      <c r="F100" s="304"/>
      <c r="G100" s="304"/>
      <c r="H100" s="304"/>
    </row>
    <row r="101" spans="1:8" ht="25.5" customHeight="1" x14ac:dyDescent="0.25">
      <c r="A101" s="302"/>
      <c r="B101" s="303"/>
      <c r="C101" s="304"/>
      <c r="D101" s="304"/>
      <c r="E101" s="304"/>
      <c r="F101" s="304"/>
      <c r="G101" s="304"/>
      <c r="H101" s="304"/>
    </row>
    <row r="102" spans="1:8" ht="25.5" customHeight="1" x14ac:dyDescent="0.25">
      <c r="A102" s="302"/>
      <c r="B102" s="303"/>
      <c r="C102" s="304"/>
      <c r="D102" s="304"/>
      <c r="E102" s="304"/>
      <c r="F102" s="304"/>
      <c r="G102" s="304"/>
      <c r="H102" s="304"/>
    </row>
    <row r="103" spans="1:8" ht="25.5" customHeight="1" x14ac:dyDescent="0.25">
      <c r="A103" s="302"/>
      <c r="B103" s="303"/>
      <c r="C103" s="304"/>
      <c r="D103" s="304"/>
      <c r="E103" s="304"/>
      <c r="F103" s="304"/>
      <c r="G103" s="304"/>
      <c r="H103" s="304"/>
    </row>
    <row r="104" spans="1:8" ht="25.5" customHeight="1" x14ac:dyDescent="0.25">
      <c r="A104" s="302"/>
      <c r="B104" s="303"/>
      <c r="C104" s="304"/>
      <c r="D104" s="304"/>
      <c r="E104" s="304"/>
      <c r="F104" s="304"/>
      <c r="G104" s="304"/>
      <c r="H104" s="304"/>
    </row>
    <row r="105" spans="1:8" ht="25.5" customHeight="1" x14ac:dyDescent="0.25">
      <c r="A105" s="302"/>
      <c r="B105" s="303"/>
      <c r="C105" s="304"/>
      <c r="D105" s="304"/>
      <c r="E105" s="304"/>
      <c r="F105" s="304"/>
      <c r="G105" s="304"/>
      <c r="H105" s="304"/>
    </row>
    <row r="106" spans="1:8" ht="25.5" customHeight="1" x14ac:dyDescent="0.25">
      <c r="A106" s="302"/>
      <c r="B106" s="303"/>
      <c r="C106" s="304"/>
      <c r="D106" s="304"/>
      <c r="E106" s="304"/>
      <c r="F106" s="304"/>
      <c r="G106" s="304"/>
      <c r="H106" s="304"/>
    </row>
    <row r="107" spans="1:8" ht="25.5" customHeight="1" x14ac:dyDescent="0.25">
      <c r="A107" s="302"/>
      <c r="B107" s="303"/>
      <c r="C107" s="304"/>
      <c r="D107" s="304"/>
      <c r="E107" s="304"/>
      <c r="F107" s="304"/>
      <c r="G107" s="304"/>
      <c r="H107" s="304"/>
    </row>
    <row r="108" spans="1:8" ht="25.5" customHeight="1" x14ac:dyDescent="0.25">
      <c r="A108" s="302"/>
      <c r="B108" s="303"/>
      <c r="C108" s="304"/>
      <c r="D108" s="304"/>
      <c r="E108" s="304"/>
      <c r="F108" s="304"/>
      <c r="G108" s="304"/>
      <c r="H108" s="304"/>
    </row>
    <row r="109" spans="1:8" ht="25.5" customHeight="1" x14ac:dyDescent="0.25">
      <c r="A109" s="302"/>
      <c r="B109" s="303"/>
      <c r="C109" s="304"/>
      <c r="D109" s="304"/>
      <c r="E109" s="304"/>
      <c r="F109" s="304"/>
      <c r="G109" s="304"/>
      <c r="H109" s="304"/>
    </row>
  </sheetData>
  <autoFilter ref="A4:W66"/>
  <mergeCells count="56">
    <mergeCell ref="A71:B71"/>
    <mergeCell ref="A72:C72"/>
    <mergeCell ref="A65:B65"/>
    <mergeCell ref="A66:B66"/>
    <mergeCell ref="A67:B67"/>
    <mergeCell ref="A68:B68"/>
    <mergeCell ref="A69:B69"/>
    <mergeCell ref="A70:B70"/>
    <mergeCell ref="A61:A62"/>
    <mergeCell ref="B61:B62"/>
    <mergeCell ref="C61:C62"/>
    <mergeCell ref="T61:T62"/>
    <mergeCell ref="A63:A64"/>
    <mergeCell ref="B63:B64"/>
    <mergeCell ref="C63:C64"/>
    <mergeCell ref="T63:T64"/>
    <mergeCell ref="A55:A56"/>
    <mergeCell ref="B55:B57"/>
    <mergeCell ref="C55:C57"/>
    <mergeCell ref="T55:T56"/>
    <mergeCell ref="A58:A59"/>
    <mergeCell ref="B58:B59"/>
    <mergeCell ref="C58:C60"/>
    <mergeCell ref="D58:D59"/>
    <mergeCell ref="T58:T59"/>
    <mergeCell ref="A51:A52"/>
    <mergeCell ref="B51:B52"/>
    <mergeCell ref="C51:C52"/>
    <mergeCell ref="T51:T52"/>
    <mergeCell ref="A53:A54"/>
    <mergeCell ref="B53:B54"/>
    <mergeCell ref="C53:C54"/>
    <mergeCell ref="T53:T54"/>
    <mergeCell ref="A46:A50"/>
    <mergeCell ref="B46:B47"/>
    <mergeCell ref="C46:C47"/>
    <mergeCell ref="T46:T50"/>
    <mergeCell ref="B48:B49"/>
    <mergeCell ref="C48:C50"/>
    <mergeCell ref="A5:T5"/>
    <mergeCell ref="A6:T6"/>
    <mergeCell ref="A7:A45"/>
    <mergeCell ref="B7:B23"/>
    <mergeCell ref="C7:C23"/>
    <mergeCell ref="T7:T45"/>
    <mergeCell ref="B24:B44"/>
    <mergeCell ref="C24:C44"/>
    <mergeCell ref="I1:J1"/>
    <mergeCell ref="S1:T1"/>
    <mergeCell ref="A2:T2"/>
    <mergeCell ref="A3:A4"/>
    <mergeCell ref="B3:B4"/>
    <mergeCell ref="C3:C4"/>
    <mergeCell ref="D3:G3"/>
    <mergeCell ref="I3:S3"/>
    <mergeCell ref="T3:T4"/>
  </mergeCells>
  <pageMargins left="0" right="0" top="0" bottom="0" header="0.31496062992125984" footer="0.31496062992125984"/>
  <pageSetup paperSize="9" scale="24" fitToHeight="8" orientation="portrait" r:id="rId1"/>
  <headerFooter differentFirst="1">
    <oddHeader>&amp;C&amp;P</oddHeader>
  </headerFooter>
  <rowBreaks count="1" manualBreakCount="1">
    <brk id="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36"/>
  <sheetViews>
    <sheetView view="pageBreakPreview" zoomScale="79" zoomScaleNormal="79" zoomScaleSheetLayoutView="79" workbookViewId="0">
      <pane ySplit="5" topLeftCell="A33" activePane="bottomLeft" state="frozen"/>
      <selection activeCell="Q12" sqref="Q12"/>
      <selection pane="bottomLeft" activeCell="L62" sqref="L62"/>
    </sheetView>
  </sheetViews>
  <sheetFormatPr defaultRowHeight="15.75" x14ac:dyDescent="0.25"/>
  <cols>
    <col min="1" max="1" width="6.28515625" style="188" customWidth="1"/>
    <col min="2" max="2" width="79.140625" style="53" customWidth="1"/>
    <col min="3" max="3" width="12" style="53" customWidth="1"/>
    <col min="4" max="4" width="11.42578125" style="53" hidden="1" customWidth="1"/>
    <col min="5" max="7" width="11.42578125" style="53" customWidth="1"/>
    <col min="8" max="10" width="11.42578125" style="80" customWidth="1"/>
    <col min="11" max="11" width="9.140625" style="80"/>
    <col min="12" max="12" width="8.140625" style="53" customWidth="1"/>
    <col min="13" max="13" width="9.140625" style="53" customWidth="1"/>
    <col min="14" max="16384" width="9.140625" style="53"/>
  </cols>
  <sheetData>
    <row r="1" spans="1:16" ht="36.75" customHeight="1" x14ac:dyDescent="0.25">
      <c r="A1" s="112"/>
      <c r="B1" s="113"/>
      <c r="C1" s="114"/>
      <c r="E1" s="115" t="s">
        <v>343</v>
      </c>
      <c r="F1" s="115"/>
      <c r="G1" s="115"/>
      <c r="H1" s="115"/>
      <c r="I1" s="115"/>
      <c r="J1" s="115"/>
      <c r="K1" s="115"/>
      <c r="L1" s="115"/>
      <c r="M1" s="115"/>
      <c r="N1" s="115"/>
      <c r="O1" s="115"/>
    </row>
    <row r="2" spans="1:16" ht="37.5" customHeight="1" x14ac:dyDescent="0.25">
      <c r="A2" s="213" t="s">
        <v>254</v>
      </c>
      <c r="B2" s="213"/>
      <c r="C2" s="213"/>
      <c r="D2" s="213"/>
      <c r="E2" s="213"/>
      <c r="F2" s="213"/>
      <c r="G2" s="213"/>
      <c r="H2" s="213"/>
      <c r="I2" s="213"/>
      <c r="J2" s="213"/>
    </row>
    <row r="3" spans="1:16" ht="25.5" customHeight="1" x14ac:dyDescent="0.25">
      <c r="A3" s="118" t="s">
        <v>97</v>
      </c>
      <c r="B3" s="119" t="s">
        <v>255</v>
      </c>
      <c r="C3" s="119" t="s">
        <v>99</v>
      </c>
      <c r="D3" s="50" t="s">
        <v>102</v>
      </c>
      <c r="E3" s="50" t="s">
        <v>41</v>
      </c>
      <c r="F3" s="50" t="s">
        <v>42</v>
      </c>
      <c r="G3" s="50" t="s">
        <v>43</v>
      </c>
      <c r="H3" s="63" t="s">
        <v>44</v>
      </c>
      <c r="I3" s="63" t="s">
        <v>45</v>
      </c>
      <c r="J3" s="63" t="s">
        <v>46</v>
      </c>
      <c r="K3" s="63" t="s">
        <v>47</v>
      </c>
      <c r="L3" s="63" t="s">
        <v>48</v>
      </c>
      <c r="M3" s="63" t="s">
        <v>49</v>
      </c>
      <c r="N3" s="63" t="s">
        <v>50</v>
      </c>
      <c r="O3" s="63" t="s">
        <v>51</v>
      </c>
    </row>
    <row r="4" spans="1:16" ht="12.75" customHeight="1" x14ac:dyDescent="0.25">
      <c r="A4" s="118"/>
      <c r="B4" s="119"/>
      <c r="C4" s="119"/>
      <c r="D4" s="50"/>
      <c r="E4" s="50"/>
      <c r="F4" s="50"/>
      <c r="G4" s="50"/>
      <c r="H4" s="63"/>
      <c r="I4" s="63"/>
      <c r="J4" s="63"/>
      <c r="K4" s="63"/>
      <c r="L4" s="63"/>
      <c r="M4" s="63"/>
      <c r="N4" s="63"/>
      <c r="O4" s="63"/>
    </row>
    <row r="5" spans="1:16" ht="25.5" customHeight="1" x14ac:dyDescent="0.25">
      <c r="A5" s="118"/>
      <c r="B5" s="119"/>
      <c r="C5" s="119"/>
      <c r="D5" s="50"/>
      <c r="E5" s="50"/>
      <c r="F5" s="50"/>
      <c r="G5" s="50"/>
      <c r="H5" s="63"/>
      <c r="I5" s="63"/>
      <c r="J5" s="63"/>
      <c r="K5" s="63"/>
      <c r="L5" s="63"/>
      <c r="M5" s="63"/>
      <c r="N5" s="63"/>
      <c r="O5" s="63"/>
    </row>
    <row r="6" spans="1:16" ht="35.1" customHeight="1" x14ac:dyDescent="0.25">
      <c r="A6" s="119" t="s">
        <v>344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</row>
    <row r="7" spans="1:16" ht="35.1" customHeight="1" x14ac:dyDescent="0.25">
      <c r="A7" s="50" t="s">
        <v>345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6" ht="35.1" customHeight="1" x14ac:dyDescent="0.25">
      <c r="A8" s="35" t="s">
        <v>258</v>
      </c>
      <c r="B8" s="307" t="s">
        <v>346</v>
      </c>
      <c r="C8" s="34" t="s">
        <v>105</v>
      </c>
      <c r="D8" s="308">
        <v>546.29999999999995</v>
      </c>
      <c r="E8" s="144">
        <v>57.12</v>
      </c>
      <c r="F8" s="144">
        <v>71.400000000000006</v>
      </c>
      <c r="G8" s="144">
        <v>85.7</v>
      </c>
      <c r="H8" s="152">
        <v>85.7</v>
      </c>
      <c r="I8" s="132">
        <v>85.7</v>
      </c>
      <c r="J8" s="132">
        <v>85.7</v>
      </c>
      <c r="K8" s="132">
        <v>85.7</v>
      </c>
      <c r="L8" s="132">
        <v>85.7</v>
      </c>
      <c r="M8" s="132">
        <v>85.7</v>
      </c>
      <c r="N8" s="131">
        <f>M8</f>
        <v>85.7</v>
      </c>
      <c r="O8" s="131">
        <f>N8</f>
        <v>85.7</v>
      </c>
    </row>
    <row r="9" spans="1:16" s="80" customFormat="1" ht="35.1" customHeight="1" x14ac:dyDescent="0.25">
      <c r="A9" s="229" t="s">
        <v>259</v>
      </c>
      <c r="B9" s="309" t="s">
        <v>137</v>
      </c>
      <c r="C9" s="36" t="s">
        <v>105</v>
      </c>
      <c r="D9" s="139">
        <v>80</v>
      </c>
      <c r="E9" s="152">
        <v>75</v>
      </c>
      <c r="F9" s="152">
        <v>75</v>
      </c>
      <c r="G9" s="152">
        <v>75</v>
      </c>
      <c r="H9" s="152">
        <v>85</v>
      </c>
      <c r="I9" s="152">
        <v>85</v>
      </c>
      <c r="J9" s="152">
        <v>85</v>
      </c>
      <c r="K9" s="152">
        <v>85</v>
      </c>
      <c r="L9" s="152">
        <v>85</v>
      </c>
      <c r="M9" s="152">
        <v>85</v>
      </c>
      <c r="N9" s="131">
        <f t="shared" ref="N9:O28" si="0">M9</f>
        <v>85</v>
      </c>
      <c r="O9" s="131">
        <f>N9</f>
        <v>85</v>
      </c>
      <c r="P9" s="310"/>
    </row>
    <row r="10" spans="1:16" ht="35.1" customHeight="1" x14ac:dyDescent="0.25">
      <c r="A10" s="35" t="s">
        <v>260</v>
      </c>
      <c r="B10" s="311" t="s">
        <v>139</v>
      </c>
      <c r="C10" s="34" t="s">
        <v>140</v>
      </c>
      <c r="D10" s="34" t="s">
        <v>135</v>
      </c>
      <c r="E10" s="144">
        <v>9</v>
      </c>
      <c r="F10" s="145">
        <v>8</v>
      </c>
      <c r="G10" s="145">
        <v>8</v>
      </c>
      <c r="H10" s="152">
        <v>8</v>
      </c>
      <c r="I10" s="132">
        <v>8</v>
      </c>
      <c r="J10" s="132">
        <v>8</v>
      </c>
      <c r="K10" s="132">
        <v>8</v>
      </c>
      <c r="L10" s="132">
        <v>8</v>
      </c>
      <c r="M10" s="132">
        <v>8</v>
      </c>
      <c r="N10" s="131">
        <f t="shared" si="0"/>
        <v>8</v>
      </c>
      <c r="O10" s="131">
        <f>N10</f>
        <v>8</v>
      </c>
    </row>
    <row r="11" spans="1:16" ht="35.1" customHeight="1" x14ac:dyDescent="0.25">
      <c r="A11" s="35" t="s">
        <v>262</v>
      </c>
      <c r="B11" s="311" t="s">
        <v>142</v>
      </c>
      <c r="C11" s="34" t="s">
        <v>105</v>
      </c>
      <c r="D11" s="34"/>
      <c r="E11" s="144">
        <v>100</v>
      </c>
      <c r="F11" s="145">
        <v>100</v>
      </c>
      <c r="G11" s="145">
        <v>100</v>
      </c>
      <c r="H11" s="152">
        <v>100</v>
      </c>
      <c r="I11" s="132">
        <v>100</v>
      </c>
      <c r="J11" s="132">
        <v>100</v>
      </c>
      <c r="K11" s="132">
        <v>100</v>
      </c>
      <c r="L11" s="132">
        <v>100</v>
      </c>
      <c r="M11" s="132">
        <v>100</v>
      </c>
      <c r="N11" s="131">
        <f t="shared" si="0"/>
        <v>100</v>
      </c>
      <c r="O11" s="131">
        <f>N11</f>
        <v>100</v>
      </c>
    </row>
    <row r="12" spans="1:16" ht="35.1" customHeight="1" x14ac:dyDescent="0.25">
      <c r="A12" s="35" t="s">
        <v>347</v>
      </c>
      <c r="B12" s="311" t="s">
        <v>144</v>
      </c>
      <c r="C12" s="34" t="s">
        <v>140</v>
      </c>
      <c r="D12" s="34" t="s">
        <v>135</v>
      </c>
      <c r="E12" s="144">
        <v>6</v>
      </c>
      <c r="F12" s="145">
        <v>7</v>
      </c>
      <c r="G12" s="145">
        <v>7</v>
      </c>
      <c r="H12" s="152">
        <v>7</v>
      </c>
      <c r="I12" s="152">
        <v>7</v>
      </c>
      <c r="J12" s="152">
        <v>7</v>
      </c>
      <c r="K12" s="152">
        <v>7</v>
      </c>
      <c r="L12" s="152">
        <v>7</v>
      </c>
      <c r="M12" s="152">
        <v>7</v>
      </c>
      <c r="N12" s="131">
        <f t="shared" si="0"/>
        <v>7</v>
      </c>
      <c r="O12" s="131">
        <f>N12</f>
        <v>7</v>
      </c>
    </row>
    <row r="13" spans="1:16" ht="35.1" customHeight="1" x14ac:dyDescent="0.25">
      <c r="A13" s="312" t="s">
        <v>348</v>
      </c>
      <c r="B13" s="313"/>
      <c r="C13" s="313"/>
      <c r="D13" s="313"/>
      <c r="E13" s="313"/>
      <c r="F13" s="313"/>
      <c r="G13" s="313"/>
      <c r="H13" s="313"/>
      <c r="I13" s="313"/>
      <c r="J13" s="313"/>
      <c r="K13" s="313"/>
      <c r="L13" s="313"/>
      <c r="M13" s="313"/>
      <c r="N13" s="313"/>
      <c r="O13" s="148"/>
    </row>
    <row r="14" spans="1:16" ht="31.5" x14ac:dyDescent="0.25">
      <c r="A14" s="35" t="s">
        <v>349</v>
      </c>
      <c r="B14" s="311" t="s">
        <v>147</v>
      </c>
      <c r="C14" s="123" t="s">
        <v>105</v>
      </c>
      <c r="D14" s="123">
        <v>1.96</v>
      </c>
      <c r="E14" s="144">
        <v>87.5</v>
      </c>
      <c r="F14" s="145">
        <v>100</v>
      </c>
      <c r="G14" s="145">
        <v>100</v>
      </c>
      <c r="H14" s="152">
        <v>100</v>
      </c>
      <c r="I14" s="149">
        <v>100</v>
      </c>
      <c r="J14" s="149">
        <v>100</v>
      </c>
      <c r="K14" s="149">
        <v>100</v>
      </c>
      <c r="L14" s="149">
        <v>100</v>
      </c>
      <c r="M14" s="314">
        <v>100</v>
      </c>
      <c r="N14" s="128">
        <f t="shared" si="0"/>
        <v>100</v>
      </c>
      <c r="O14" s="131">
        <f>N14</f>
        <v>100</v>
      </c>
    </row>
    <row r="15" spans="1:16" ht="31.5" x14ac:dyDescent="0.25">
      <c r="A15" s="35" t="s">
        <v>350</v>
      </c>
      <c r="B15" s="311" t="s">
        <v>149</v>
      </c>
      <c r="C15" s="34" t="s">
        <v>105</v>
      </c>
      <c r="D15" s="131">
        <v>2.34</v>
      </c>
      <c r="E15" s="144">
        <v>85</v>
      </c>
      <c r="F15" s="145">
        <v>89</v>
      </c>
      <c r="G15" s="145">
        <v>90</v>
      </c>
      <c r="H15" s="152">
        <v>90</v>
      </c>
      <c r="I15" s="149">
        <v>95</v>
      </c>
      <c r="J15" s="149">
        <v>95</v>
      </c>
      <c r="K15" s="149">
        <v>95</v>
      </c>
      <c r="L15" s="149">
        <v>95</v>
      </c>
      <c r="M15" s="314">
        <v>95</v>
      </c>
      <c r="N15" s="128">
        <f t="shared" si="0"/>
        <v>95</v>
      </c>
      <c r="O15" s="131">
        <f t="shared" si="0"/>
        <v>95</v>
      </c>
    </row>
    <row r="16" spans="1:16" ht="63" x14ac:dyDescent="0.25">
      <c r="A16" s="35" t="s">
        <v>351</v>
      </c>
      <c r="B16" s="311" t="s">
        <v>151</v>
      </c>
      <c r="C16" s="34" t="s">
        <v>105</v>
      </c>
      <c r="D16" s="131"/>
      <c r="E16" s="144">
        <v>10.199999999999999</v>
      </c>
      <c r="F16" s="145">
        <v>10.1</v>
      </c>
      <c r="G16" s="145">
        <v>10.1</v>
      </c>
      <c r="H16" s="152">
        <v>9.1</v>
      </c>
      <c r="I16" s="149">
        <v>9.5</v>
      </c>
      <c r="J16" s="149">
        <v>10.1</v>
      </c>
      <c r="K16" s="149">
        <v>10.1</v>
      </c>
      <c r="L16" s="149">
        <v>10.1</v>
      </c>
      <c r="M16" s="314">
        <v>10.1</v>
      </c>
      <c r="N16" s="128">
        <f t="shared" si="0"/>
        <v>10.1</v>
      </c>
      <c r="O16" s="131">
        <f t="shared" si="0"/>
        <v>10.1</v>
      </c>
    </row>
    <row r="17" spans="1:20" ht="63" x14ac:dyDescent="0.25">
      <c r="A17" s="35" t="s">
        <v>352</v>
      </c>
      <c r="B17" s="311" t="s">
        <v>153</v>
      </c>
      <c r="C17" s="34" t="s">
        <v>105</v>
      </c>
      <c r="D17" s="131"/>
      <c r="E17" s="144">
        <v>1.1299999999999999</v>
      </c>
      <c r="F17" s="145">
        <v>1.57</v>
      </c>
      <c r="G17" s="145">
        <v>1.72</v>
      </c>
      <c r="H17" s="152">
        <v>1.86</v>
      </c>
      <c r="I17" s="152">
        <v>1.87</v>
      </c>
      <c r="J17" s="152">
        <v>1.9</v>
      </c>
      <c r="K17" s="152">
        <v>1.9</v>
      </c>
      <c r="L17" s="152">
        <v>1.9</v>
      </c>
      <c r="M17" s="315">
        <v>1.9</v>
      </c>
      <c r="N17" s="128">
        <f t="shared" si="0"/>
        <v>1.9</v>
      </c>
      <c r="O17" s="131">
        <f t="shared" si="0"/>
        <v>1.9</v>
      </c>
    </row>
    <row r="18" spans="1:20" ht="47.25" x14ac:dyDescent="0.25">
      <c r="A18" s="35" t="s">
        <v>353</v>
      </c>
      <c r="B18" s="311" t="s">
        <v>155</v>
      </c>
      <c r="C18" s="34" t="s">
        <v>105</v>
      </c>
      <c r="D18" s="131"/>
      <c r="E18" s="144">
        <v>39</v>
      </c>
      <c r="F18" s="144">
        <v>41</v>
      </c>
      <c r="G18" s="144">
        <v>41</v>
      </c>
      <c r="H18" s="152">
        <v>42.5</v>
      </c>
      <c r="I18" s="149">
        <v>48.8</v>
      </c>
      <c r="J18" s="149">
        <v>50.2</v>
      </c>
      <c r="K18" s="149">
        <v>50.2</v>
      </c>
      <c r="L18" s="149">
        <v>50.2</v>
      </c>
      <c r="M18" s="314">
        <v>50.2</v>
      </c>
      <c r="N18" s="128">
        <f t="shared" si="0"/>
        <v>50.2</v>
      </c>
      <c r="O18" s="131">
        <f t="shared" si="0"/>
        <v>50.2</v>
      </c>
    </row>
    <row r="19" spans="1:20" ht="63" x14ac:dyDescent="0.25">
      <c r="A19" s="35" t="s">
        <v>354</v>
      </c>
      <c r="B19" s="307" t="s">
        <v>157</v>
      </c>
      <c r="C19" s="12" t="s">
        <v>105</v>
      </c>
      <c r="D19" s="131"/>
      <c r="E19" s="144">
        <v>1.96</v>
      </c>
      <c r="F19" s="144">
        <v>0</v>
      </c>
      <c r="G19" s="144">
        <v>0</v>
      </c>
      <c r="H19" s="152">
        <v>0</v>
      </c>
      <c r="I19" s="149">
        <v>0</v>
      </c>
      <c r="J19" s="149">
        <v>0</v>
      </c>
      <c r="K19" s="149">
        <v>0</v>
      </c>
      <c r="L19" s="149">
        <v>0</v>
      </c>
      <c r="M19" s="314">
        <v>0</v>
      </c>
      <c r="N19" s="128">
        <f t="shared" si="0"/>
        <v>0</v>
      </c>
      <c r="O19" s="131">
        <f t="shared" si="0"/>
        <v>0</v>
      </c>
    </row>
    <row r="20" spans="1:20" ht="47.25" x14ac:dyDescent="0.25">
      <c r="A20" s="35" t="s">
        <v>355</v>
      </c>
      <c r="B20" s="307" t="s">
        <v>159</v>
      </c>
      <c r="C20" s="12" t="s">
        <v>105</v>
      </c>
      <c r="D20" s="131"/>
      <c r="E20" s="144">
        <v>93.4</v>
      </c>
      <c r="F20" s="152">
        <v>93.5</v>
      </c>
      <c r="G20" s="152">
        <v>93.5</v>
      </c>
      <c r="H20" s="152">
        <v>93.5</v>
      </c>
      <c r="I20" s="149">
        <v>95</v>
      </c>
      <c r="J20" s="149">
        <v>95</v>
      </c>
      <c r="K20" s="149">
        <v>95</v>
      </c>
      <c r="L20" s="149">
        <v>95</v>
      </c>
      <c r="M20" s="314">
        <v>95</v>
      </c>
      <c r="N20" s="128">
        <f t="shared" si="0"/>
        <v>95</v>
      </c>
      <c r="O20" s="131">
        <f t="shared" si="0"/>
        <v>95</v>
      </c>
    </row>
    <row r="21" spans="1:20" ht="47.25" x14ac:dyDescent="0.25">
      <c r="A21" s="35" t="s">
        <v>356</v>
      </c>
      <c r="B21" s="307" t="s">
        <v>161</v>
      </c>
      <c r="C21" s="12" t="s">
        <v>105</v>
      </c>
      <c r="D21" s="131"/>
      <c r="E21" s="144">
        <v>92</v>
      </c>
      <c r="F21" s="152">
        <v>92</v>
      </c>
      <c r="G21" s="149">
        <v>92</v>
      </c>
      <c r="H21" s="149">
        <v>92</v>
      </c>
      <c r="I21" s="149">
        <v>92</v>
      </c>
      <c r="J21" s="149">
        <v>92</v>
      </c>
      <c r="K21" s="149">
        <v>92</v>
      </c>
      <c r="L21" s="149">
        <v>92</v>
      </c>
      <c r="M21" s="314">
        <v>92</v>
      </c>
      <c r="N21" s="128">
        <f t="shared" si="0"/>
        <v>92</v>
      </c>
      <c r="O21" s="131">
        <f t="shared" si="0"/>
        <v>92</v>
      </c>
    </row>
    <row r="22" spans="1:20" ht="31.5" x14ac:dyDescent="0.25">
      <c r="A22" s="35" t="s">
        <v>357</v>
      </c>
      <c r="B22" s="311" t="s">
        <v>163</v>
      </c>
      <c r="C22" s="11" t="s">
        <v>105</v>
      </c>
      <c r="D22" s="131"/>
      <c r="E22" s="144">
        <v>96</v>
      </c>
      <c r="F22" s="145">
        <v>96.5</v>
      </c>
      <c r="G22" s="146">
        <v>97</v>
      </c>
      <c r="H22" s="149">
        <v>97</v>
      </c>
      <c r="I22" s="149">
        <v>98</v>
      </c>
      <c r="J22" s="149">
        <v>98</v>
      </c>
      <c r="K22" s="149">
        <v>98</v>
      </c>
      <c r="L22" s="149">
        <v>98</v>
      </c>
      <c r="M22" s="314">
        <v>98</v>
      </c>
      <c r="N22" s="128">
        <f t="shared" si="0"/>
        <v>98</v>
      </c>
      <c r="O22" s="131">
        <f t="shared" si="0"/>
        <v>98</v>
      </c>
    </row>
    <row r="23" spans="1:20" ht="94.5" x14ac:dyDescent="0.25">
      <c r="A23" s="35" t="s">
        <v>358</v>
      </c>
      <c r="B23" s="307" t="s">
        <v>165</v>
      </c>
      <c r="C23" s="11" t="s">
        <v>105</v>
      </c>
      <c r="D23" s="131"/>
      <c r="E23" s="144">
        <v>2.5</v>
      </c>
      <c r="F23" s="145">
        <v>3</v>
      </c>
      <c r="G23" s="146">
        <v>3.4</v>
      </c>
      <c r="H23" s="149">
        <v>2.4</v>
      </c>
      <c r="I23" s="149">
        <v>2.8</v>
      </c>
      <c r="J23" s="149">
        <v>2.8</v>
      </c>
      <c r="K23" s="149">
        <v>2.8</v>
      </c>
      <c r="L23" s="149">
        <v>2.8</v>
      </c>
      <c r="M23" s="314">
        <v>2.8</v>
      </c>
      <c r="N23" s="128">
        <f t="shared" si="0"/>
        <v>2.8</v>
      </c>
      <c r="O23" s="131">
        <f t="shared" si="0"/>
        <v>2.8</v>
      </c>
    </row>
    <row r="24" spans="1:20" ht="39" customHeight="1" x14ac:dyDescent="0.25">
      <c r="A24" s="85" t="s">
        <v>359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7"/>
      <c r="O24" s="148"/>
    </row>
    <row r="25" spans="1:20" ht="31.5" x14ac:dyDescent="0.25">
      <c r="A25" s="153" t="s">
        <v>360</v>
      </c>
      <c r="B25" s="311" t="s">
        <v>168</v>
      </c>
      <c r="C25" s="34" t="s">
        <v>105</v>
      </c>
      <c r="D25" s="123"/>
      <c r="E25" s="144">
        <v>75</v>
      </c>
      <c r="F25" s="145">
        <v>75</v>
      </c>
      <c r="G25" s="154">
        <v>75</v>
      </c>
      <c r="H25" s="126">
        <v>93</v>
      </c>
      <c r="I25" s="126">
        <v>93.2</v>
      </c>
      <c r="J25" s="126">
        <v>93.4</v>
      </c>
      <c r="K25" s="126">
        <v>93.5</v>
      </c>
      <c r="L25" s="126">
        <v>93.5</v>
      </c>
      <c r="M25" s="316">
        <v>93.5</v>
      </c>
      <c r="N25" s="128">
        <f t="shared" si="0"/>
        <v>93.5</v>
      </c>
      <c r="O25" s="144">
        <f>N25</f>
        <v>93.5</v>
      </c>
      <c r="P25" s="317"/>
      <c r="Q25" s="317"/>
      <c r="R25" s="317"/>
      <c r="S25" s="317"/>
      <c r="T25" s="317"/>
    </row>
    <row r="26" spans="1:20" ht="31.5" x14ac:dyDescent="0.25">
      <c r="A26" s="153" t="s">
        <v>361</v>
      </c>
      <c r="B26" s="309" t="s">
        <v>362</v>
      </c>
      <c r="C26" s="34" t="s">
        <v>105</v>
      </c>
      <c r="D26" s="123"/>
      <c r="E26" s="144">
        <v>67</v>
      </c>
      <c r="F26" s="145">
        <v>70</v>
      </c>
      <c r="G26" s="154">
        <v>72</v>
      </c>
      <c r="H26" s="126">
        <v>95</v>
      </c>
      <c r="I26" s="126">
        <v>95</v>
      </c>
      <c r="J26" s="126">
        <v>96</v>
      </c>
      <c r="K26" s="126">
        <v>97</v>
      </c>
      <c r="L26" s="126">
        <v>97</v>
      </c>
      <c r="M26" s="316">
        <v>97</v>
      </c>
      <c r="N26" s="128">
        <f t="shared" si="0"/>
        <v>97</v>
      </c>
      <c r="O26" s="144">
        <f>N26</f>
        <v>97</v>
      </c>
      <c r="P26" s="317"/>
      <c r="Q26" s="317"/>
      <c r="R26" s="317"/>
      <c r="S26" s="317"/>
      <c r="T26" s="317"/>
    </row>
    <row r="27" spans="1:20" ht="47.25" x14ac:dyDescent="0.25">
      <c r="A27" s="153" t="s">
        <v>363</v>
      </c>
      <c r="B27" s="307" t="s">
        <v>364</v>
      </c>
      <c r="C27" s="34" t="s">
        <v>105</v>
      </c>
      <c r="D27" s="123">
        <v>78.400000000000006</v>
      </c>
      <c r="E27" s="154">
        <v>81</v>
      </c>
      <c r="F27" s="154">
        <v>83</v>
      </c>
      <c r="G27" s="154">
        <v>85</v>
      </c>
      <c r="H27" s="126">
        <v>85</v>
      </c>
      <c r="I27" s="126">
        <v>85</v>
      </c>
      <c r="J27" s="126">
        <v>85</v>
      </c>
      <c r="K27" s="126">
        <v>85</v>
      </c>
      <c r="L27" s="126">
        <v>85</v>
      </c>
      <c r="M27" s="316">
        <v>85</v>
      </c>
      <c r="N27" s="128">
        <f t="shared" si="0"/>
        <v>85</v>
      </c>
      <c r="O27" s="144">
        <f>N27</f>
        <v>85</v>
      </c>
    </row>
    <row r="28" spans="1:20" ht="31.5" x14ac:dyDescent="0.25">
      <c r="A28" s="153" t="s">
        <v>365</v>
      </c>
      <c r="B28" s="307" t="s">
        <v>172</v>
      </c>
      <c r="C28" s="34" t="s">
        <v>105</v>
      </c>
      <c r="D28" s="123"/>
      <c r="E28" s="144">
        <v>15</v>
      </c>
      <c r="F28" s="145">
        <v>15</v>
      </c>
      <c r="G28" s="154">
        <v>16.5</v>
      </c>
      <c r="H28" s="126">
        <v>18.3</v>
      </c>
      <c r="I28" s="126">
        <v>19.100000000000001</v>
      </c>
      <c r="J28" s="126">
        <v>19.5</v>
      </c>
      <c r="K28" s="126">
        <v>19.5</v>
      </c>
      <c r="L28" s="126">
        <v>19.5</v>
      </c>
      <c r="M28" s="316">
        <v>19.5</v>
      </c>
      <c r="N28" s="128">
        <f t="shared" si="0"/>
        <v>19.5</v>
      </c>
      <c r="O28" s="144">
        <f>N28</f>
        <v>19.5</v>
      </c>
    </row>
    <row r="29" spans="1:20" ht="47.25" x14ac:dyDescent="0.25">
      <c r="A29" s="153" t="s">
        <v>366</v>
      </c>
      <c r="B29" s="307" t="s">
        <v>367</v>
      </c>
      <c r="C29" s="34" t="s">
        <v>105</v>
      </c>
      <c r="D29" s="123"/>
      <c r="E29" s="144"/>
      <c r="F29" s="144"/>
      <c r="G29" s="154"/>
      <c r="H29" s="154"/>
      <c r="I29" s="154"/>
      <c r="J29" s="154"/>
      <c r="K29" s="154">
        <v>25</v>
      </c>
      <c r="L29" s="154">
        <v>25</v>
      </c>
      <c r="M29" s="318">
        <v>25</v>
      </c>
      <c r="N29" s="128">
        <f>M29</f>
        <v>25</v>
      </c>
      <c r="O29" s="144">
        <f>N29</f>
        <v>25</v>
      </c>
    </row>
    <row r="30" spans="1:20" ht="34.5" customHeight="1" x14ac:dyDescent="0.25">
      <c r="A30" s="85" t="s">
        <v>368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7"/>
      <c r="O30" s="144"/>
    </row>
    <row r="31" spans="1:20" ht="31.5" x14ac:dyDescent="0.25">
      <c r="A31" s="153" t="s">
        <v>369</v>
      </c>
      <c r="B31" s="307" t="s">
        <v>370</v>
      </c>
      <c r="C31" s="34" t="s">
        <v>105</v>
      </c>
      <c r="D31" s="123"/>
      <c r="E31" s="144"/>
      <c r="F31" s="144"/>
      <c r="G31" s="154"/>
      <c r="H31" s="154"/>
      <c r="I31" s="154"/>
      <c r="J31" s="154"/>
      <c r="K31" s="154"/>
      <c r="L31" s="154">
        <v>100</v>
      </c>
      <c r="M31" s="154">
        <v>100</v>
      </c>
      <c r="N31" s="128">
        <v>100</v>
      </c>
      <c r="O31" s="144">
        <v>100</v>
      </c>
    </row>
    <row r="32" spans="1:20" ht="47.25" x14ac:dyDescent="0.25">
      <c r="A32" s="153" t="s">
        <v>371</v>
      </c>
      <c r="B32" s="307" t="s">
        <v>372</v>
      </c>
      <c r="C32" s="34" t="s">
        <v>198</v>
      </c>
      <c r="D32" s="123"/>
      <c r="E32" s="144"/>
      <c r="F32" s="144"/>
      <c r="G32" s="154"/>
      <c r="H32" s="154"/>
      <c r="I32" s="154"/>
      <c r="J32" s="154"/>
      <c r="K32" s="154"/>
      <c r="L32" s="154">
        <v>568</v>
      </c>
      <c r="M32" s="154">
        <v>419</v>
      </c>
      <c r="N32" s="128">
        <v>299</v>
      </c>
      <c r="O32" s="144">
        <v>371</v>
      </c>
    </row>
    <row r="33" spans="1:15" ht="63" x14ac:dyDescent="0.25">
      <c r="A33" s="153" t="s">
        <v>373</v>
      </c>
      <c r="B33" s="307" t="s">
        <v>374</v>
      </c>
      <c r="C33" s="34" t="s">
        <v>198</v>
      </c>
      <c r="D33" s="123"/>
      <c r="E33" s="144"/>
      <c r="F33" s="144"/>
      <c r="G33" s="154"/>
      <c r="H33" s="154"/>
      <c r="I33" s="154"/>
      <c r="J33" s="154"/>
      <c r="K33" s="154"/>
      <c r="L33" s="154">
        <v>65</v>
      </c>
      <c r="M33" s="154">
        <v>6</v>
      </c>
      <c r="N33" s="128">
        <v>6</v>
      </c>
      <c r="O33" s="144">
        <v>6</v>
      </c>
    </row>
    <row r="34" spans="1:15" x14ac:dyDescent="0.25">
      <c r="A34" s="237"/>
      <c r="B34" s="238"/>
      <c r="C34" s="120"/>
      <c r="D34" s="239"/>
      <c r="E34" s="239"/>
      <c r="F34" s="239"/>
      <c r="G34" s="239"/>
      <c r="H34" s="240"/>
      <c r="I34" s="240"/>
      <c r="J34" s="240"/>
    </row>
    <row r="35" spans="1:15" x14ac:dyDescent="0.25">
      <c r="A35" s="237"/>
      <c r="B35" s="238"/>
      <c r="C35" s="120"/>
      <c r="D35" s="239"/>
      <c r="E35" s="239"/>
      <c r="F35" s="239"/>
      <c r="G35" s="239"/>
      <c r="H35" s="240"/>
      <c r="I35" s="240"/>
      <c r="J35" s="240"/>
    </row>
    <row r="36" spans="1:15" ht="18.75" x14ac:dyDescent="0.3">
      <c r="A36" s="319" t="s">
        <v>33</v>
      </c>
      <c r="B36" s="319"/>
      <c r="C36" s="319"/>
      <c r="D36" s="320"/>
      <c r="E36" s="320"/>
      <c r="F36" s="320"/>
      <c r="G36" s="321"/>
      <c r="H36" s="322"/>
      <c r="I36" s="322"/>
      <c r="J36" s="323"/>
      <c r="L36" s="320" t="s">
        <v>243</v>
      </c>
    </row>
  </sheetData>
  <mergeCells count="22">
    <mergeCell ref="O3:O5"/>
    <mergeCell ref="A6:N6"/>
    <mergeCell ref="A7:N7"/>
    <mergeCell ref="A13:N13"/>
    <mergeCell ref="A24:N24"/>
    <mergeCell ref="A30:N30"/>
    <mergeCell ref="I3:I5"/>
    <mergeCell ref="J3:J5"/>
    <mergeCell ref="K3:K5"/>
    <mergeCell ref="L3:L5"/>
    <mergeCell ref="M3:M5"/>
    <mergeCell ref="N3:N5"/>
    <mergeCell ref="E1:O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31496062992125984" top="0.55118110236220474" bottom="0.35433070866141736" header="0.31496062992125984" footer="0.31496062992125984"/>
  <pageSetup paperSize="9" scale="68" fitToHeight="4" orientation="landscape" r:id="rId1"/>
  <headerFooter differentFirst="1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191"/>
  <sheetViews>
    <sheetView view="pageBreakPreview" topLeftCell="I16" zoomScale="98" zoomScaleNormal="98" zoomScaleSheetLayoutView="98" workbookViewId="0">
      <selection activeCell="T24" sqref="T24:T33"/>
    </sheetView>
  </sheetViews>
  <sheetFormatPr defaultColWidth="9.28515625" defaultRowHeight="15.75" x14ac:dyDescent="0.25"/>
  <cols>
    <col min="1" max="1" width="6.5703125" style="425" customWidth="1"/>
    <col min="2" max="2" width="60.7109375" style="426" customWidth="1"/>
    <col min="3" max="3" width="21.7109375" style="427" customWidth="1"/>
    <col min="4" max="4" width="9.42578125" style="427" bestFit="1" customWidth="1"/>
    <col min="5" max="5" width="9.28515625" style="427"/>
    <col min="6" max="6" width="14.85546875" style="427" customWidth="1"/>
    <col min="7" max="7" width="12.42578125" style="427" customWidth="1"/>
    <col min="8" max="8" width="12.7109375" style="427" customWidth="1"/>
    <col min="9" max="12" width="12.7109375" style="80" customWidth="1"/>
    <col min="13" max="13" width="15.28515625" style="80" customWidth="1"/>
    <col min="14" max="14" width="12.7109375" style="80" customWidth="1"/>
    <col min="15" max="15" width="17.5703125" style="80" customWidth="1"/>
    <col min="16" max="16" width="13.28515625" style="80" customWidth="1"/>
    <col min="17" max="17" width="13.5703125" style="80" customWidth="1"/>
    <col min="18" max="18" width="12.85546875" style="80" customWidth="1"/>
    <col min="19" max="19" width="17.140625" style="80" customWidth="1"/>
    <col min="20" max="20" width="55.5703125" style="53" customWidth="1"/>
    <col min="21" max="21" width="12" style="53" customWidth="1"/>
    <col min="22" max="22" width="15.42578125" style="53" customWidth="1"/>
    <col min="23" max="23" width="21.28515625" style="53" customWidth="1"/>
    <col min="24" max="16384" width="9.28515625" style="53"/>
  </cols>
  <sheetData>
    <row r="1" spans="1:23" s="206" customFormat="1" ht="39" customHeight="1" x14ac:dyDescent="0.25">
      <c r="A1" s="324"/>
      <c r="B1" s="325"/>
      <c r="C1" s="326"/>
      <c r="D1" s="326"/>
      <c r="E1" s="326"/>
      <c r="F1" s="326"/>
      <c r="G1" s="326"/>
      <c r="H1" s="326"/>
      <c r="I1" s="327"/>
      <c r="J1" s="327"/>
      <c r="K1" s="178"/>
      <c r="L1" s="178"/>
      <c r="M1" s="178"/>
      <c r="N1" s="178"/>
      <c r="O1" s="212" t="s">
        <v>375</v>
      </c>
      <c r="P1" s="212"/>
      <c r="Q1" s="212"/>
      <c r="R1" s="212"/>
      <c r="S1" s="212"/>
      <c r="T1" s="212"/>
      <c r="U1" s="249"/>
      <c r="V1" s="249"/>
      <c r="W1" s="249"/>
    </row>
    <row r="2" spans="1:23" s="206" customFormat="1" ht="23.25" customHeight="1" x14ac:dyDescent="0.25">
      <c r="A2" s="328" t="s">
        <v>265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9"/>
    </row>
    <row r="3" spans="1:23" s="206" customFormat="1" ht="24.75" customHeight="1" x14ac:dyDescent="0.25">
      <c r="A3" s="63" t="s">
        <v>97</v>
      </c>
      <c r="B3" s="330" t="s">
        <v>266</v>
      </c>
      <c r="C3" s="63" t="s">
        <v>7</v>
      </c>
      <c r="D3" s="63" t="s">
        <v>5</v>
      </c>
      <c r="E3" s="63"/>
      <c r="F3" s="63"/>
      <c r="G3" s="63"/>
      <c r="H3" s="63" t="s">
        <v>6</v>
      </c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50" t="s">
        <v>267</v>
      </c>
    </row>
    <row r="4" spans="1:23" s="206" customFormat="1" ht="42" customHeight="1" x14ac:dyDescent="0.25">
      <c r="A4" s="63"/>
      <c r="B4" s="330"/>
      <c r="C4" s="63"/>
      <c r="D4" s="141" t="s">
        <v>7</v>
      </c>
      <c r="E4" s="141" t="s">
        <v>8</v>
      </c>
      <c r="F4" s="141" t="s">
        <v>9</v>
      </c>
      <c r="G4" s="141" t="s">
        <v>10</v>
      </c>
      <c r="H4" s="141">
        <v>2014</v>
      </c>
      <c r="I4" s="141">
        <v>2015</v>
      </c>
      <c r="J4" s="141">
        <v>2016</v>
      </c>
      <c r="K4" s="141">
        <v>2017</v>
      </c>
      <c r="L4" s="141">
        <v>2018</v>
      </c>
      <c r="M4" s="141">
        <v>2019</v>
      </c>
      <c r="N4" s="141">
        <v>2020</v>
      </c>
      <c r="O4" s="141">
        <v>2021</v>
      </c>
      <c r="P4" s="141">
        <v>2022</v>
      </c>
      <c r="Q4" s="141">
        <v>2023</v>
      </c>
      <c r="R4" s="141">
        <v>2024</v>
      </c>
      <c r="S4" s="141" t="s">
        <v>11</v>
      </c>
      <c r="T4" s="50"/>
    </row>
    <row r="5" spans="1:23" ht="26.25" customHeight="1" x14ac:dyDescent="0.25">
      <c r="A5" s="33" t="s">
        <v>376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3" ht="24" customHeight="1" x14ac:dyDescent="0.25">
      <c r="A6" s="251" t="s">
        <v>377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</row>
    <row r="7" spans="1:23" s="242" customFormat="1" ht="79.5" customHeight="1" x14ac:dyDescent="0.2">
      <c r="A7" s="229" t="s">
        <v>133</v>
      </c>
      <c r="B7" s="331" t="s">
        <v>378</v>
      </c>
      <c r="C7" s="141" t="s">
        <v>17</v>
      </c>
      <c r="D7" s="332">
        <v>975</v>
      </c>
      <c r="E7" s="332" t="s">
        <v>379</v>
      </c>
      <c r="F7" s="332" t="s">
        <v>380</v>
      </c>
      <c r="G7" s="332" t="s">
        <v>381</v>
      </c>
      <c r="H7" s="333">
        <v>1103.3</v>
      </c>
      <c r="I7" s="333">
        <v>0</v>
      </c>
      <c r="J7" s="333">
        <v>0</v>
      </c>
      <c r="K7" s="333">
        <f>479.9+800+106.1</f>
        <v>1386</v>
      </c>
      <c r="L7" s="333"/>
      <c r="M7" s="333"/>
      <c r="N7" s="333"/>
      <c r="O7" s="333"/>
      <c r="P7" s="333">
        <f>O7</f>
        <v>0</v>
      </c>
      <c r="Q7" s="333">
        <f>P7</f>
        <v>0</v>
      </c>
      <c r="R7" s="333">
        <f>Q7</f>
        <v>0</v>
      </c>
      <c r="S7" s="333">
        <f>SUM(H7:R7)</f>
        <v>2489.3000000000002</v>
      </c>
      <c r="T7" s="334" t="s">
        <v>382</v>
      </c>
      <c r="U7" s="335"/>
    </row>
    <row r="8" spans="1:23" ht="35.1" customHeight="1" x14ac:dyDescent="0.25">
      <c r="A8" s="336" t="s">
        <v>136</v>
      </c>
      <c r="B8" s="337" t="s">
        <v>383</v>
      </c>
      <c r="C8" s="62" t="s">
        <v>17</v>
      </c>
      <c r="D8" s="338" t="s">
        <v>18</v>
      </c>
      <c r="E8" s="338" t="s">
        <v>379</v>
      </c>
      <c r="F8" s="338" t="s">
        <v>384</v>
      </c>
      <c r="G8" s="338" t="s">
        <v>276</v>
      </c>
      <c r="H8" s="333">
        <v>2319.5</v>
      </c>
      <c r="I8" s="333">
        <v>6037.2</v>
      </c>
      <c r="J8" s="333">
        <v>3775.2</v>
      </c>
      <c r="K8" s="333">
        <v>6081.4</v>
      </c>
      <c r="L8" s="333">
        <v>2601.9</v>
      </c>
      <c r="M8" s="333">
        <v>2151.5</v>
      </c>
      <c r="N8" s="333">
        <v>296</v>
      </c>
      <c r="O8" s="333">
        <v>7297.3</v>
      </c>
      <c r="P8" s="333">
        <f>2659.3+197.3</f>
        <v>2856.6000000000004</v>
      </c>
      <c r="Q8" s="333">
        <v>0</v>
      </c>
      <c r="R8" s="333">
        <f t="shared" ref="R8:R57" si="0">Q8</f>
        <v>0</v>
      </c>
      <c r="S8" s="333">
        <f t="shared" ref="S8:S57" si="1">SUM(H8:R8)</f>
        <v>33416.600000000006</v>
      </c>
      <c r="T8" s="339" t="s">
        <v>385</v>
      </c>
    </row>
    <row r="9" spans="1:23" ht="35.1" customHeight="1" x14ac:dyDescent="0.25">
      <c r="A9" s="336"/>
      <c r="B9" s="340"/>
      <c r="C9" s="64"/>
      <c r="D9" s="338" t="s">
        <v>18</v>
      </c>
      <c r="E9" s="338" t="s">
        <v>379</v>
      </c>
      <c r="F9" s="338" t="s">
        <v>384</v>
      </c>
      <c r="G9" s="338" t="s">
        <v>278</v>
      </c>
      <c r="H9" s="333">
        <v>389.7</v>
      </c>
      <c r="I9" s="333">
        <v>590.1</v>
      </c>
      <c r="J9" s="333">
        <v>889.8</v>
      </c>
      <c r="K9" s="333">
        <f>407.7+80.2+100+235.4</f>
        <v>823.3</v>
      </c>
      <c r="L9" s="333">
        <v>1366.1</v>
      </c>
      <c r="M9" s="333">
        <v>687.2</v>
      </c>
      <c r="N9" s="333"/>
      <c r="O9" s="333">
        <v>2593.6</v>
      </c>
      <c r="P9" s="333">
        <v>5459</v>
      </c>
      <c r="Q9" s="333">
        <v>0</v>
      </c>
      <c r="R9" s="333">
        <f t="shared" si="0"/>
        <v>0</v>
      </c>
      <c r="S9" s="333">
        <f t="shared" si="1"/>
        <v>12798.8</v>
      </c>
      <c r="T9" s="341"/>
    </row>
    <row r="10" spans="1:23" ht="35.1" customHeight="1" x14ac:dyDescent="0.25">
      <c r="A10" s="336"/>
      <c r="B10" s="340"/>
      <c r="C10" s="64"/>
      <c r="D10" s="338" t="s">
        <v>18</v>
      </c>
      <c r="E10" s="338" t="s">
        <v>379</v>
      </c>
      <c r="F10" s="338" t="s">
        <v>384</v>
      </c>
      <c r="G10" s="338" t="s">
        <v>314</v>
      </c>
      <c r="H10" s="333"/>
      <c r="I10" s="333"/>
      <c r="J10" s="333"/>
      <c r="K10" s="333"/>
      <c r="L10" s="333">
        <v>612.20000000000005</v>
      </c>
      <c r="M10" s="333"/>
      <c r="N10" s="333"/>
      <c r="O10" s="333"/>
      <c r="P10" s="333">
        <f>O10</f>
        <v>0</v>
      </c>
      <c r="Q10" s="333">
        <f>P10</f>
        <v>0</v>
      </c>
      <c r="R10" s="333">
        <f t="shared" si="0"/>
        <v>0</v>
      </c>
      <c r="S10" s="333">
        <f t="shared" si="1"/>
        <v>612.20000000000005</v>
      </c>
      <c r="T10" s="341"/>
    </row>
    <row r="11" spans="1:23" ht="35.1" customHeight="1" x14ac:dyDescent="0.25">
      <c r="A11" s="336"/>
      <c r="B11" s="340"/>
      <c r="C11" s="64"/>
      <c r="D11" s="338" t="s">
        <v>18</v>
      </c>
      <c r="E11" s="338" t="s">
        <v>379</v>
      </c>
      <c r="F11" s="338" t="s">
        <v>386</v>
      </c>
      <c r="G11" s="338" t="s">
        <v>276</v>
      </c>
      <c r="H11" s="333">
        <v>0</v>
      </c>
      <c r="I11" s="333">
        <v>0</v>
      </c>
      <c r="J11" s="333">
        <v>531.20000000000005</v>
      </c>
      <c r="K11" s="333">
        <v>959.7</v>
      </c>
      <c r="L11" s="333">
        <v>486.3</v>
      </c>
      <c r="M11" s="333">
        <v>828.9</v>
      </c>
      <c r="N11" s="333">
        <v>598.5</v>
      </c>
      <c r="O11" s="333">
        <v>1102.5</v>
      </c>
      <c r="P11" s="333">
        <v>1484.5</v>
      </c>
      <c r="Q11" s="333">
        <v>1159.5</v>
      </c>
      <c r="R11" s="333">
        <v>1159.5</v>
      </c>
      <c r="S11" s="333">
        <f t="shared" si="1"/>
        <v>8310.6</v>
      </c>
      <c r="T11" s="341"/>
    </row>
    <row r="12" spans="1:23" ht="35.1" customHeight="1" x14ac:dyDescent="0.25">
      <c r="A12" s="336"/>
      <c r="B12" s="340"/>
      <c r="C12" s="64"/>
      <c r="D12" s="338" t="s">
        <v>18</v>
      </c>
      <c r="E12" s="338" t="s">
        <v>379</v>
      </c>
      <c r="F12" s="338" t="s">
        <v>386</v>
      </c>
      <c r="G12" s="338" t="s">
        <v>278</v>
      </c>
      <c r="H12" s="333">
        <v>0</v>
      </c>
      <c r="I12" s="333">
        <v>0</v>
      </c>
      <c r="J12" s="333">
        <v>278.7</v>
      </c>
      <c r="K12" s="333">
        <v>0</v>
      </c>
      <c r="L12" s="333">
        <v>423</v>
      </c>
      <c r="M12" s="333">
        <v>94</v>
      </c>
      <c r="N12" s="333">
        <v>511.5</v>
      </c>
      <c r="O12" s="333">
        <v>157.5</v>
      </c>
      <c r="P12" s="333">
        <v>140.5</v>
      </c>
      <c r="Q12" s="333">
        <v>140.5</v>
      </c>
      <c r="R12" s="333">
        <v>140.5</v>
      </c>
      <c r="S12" s="333">
        <f>SUM(H12:R12)</f>
        <v>1886.2</v>
      </c>
      <c r="T12" s="341"/>
    </row>
    <row r="13" spans="1:23" ht="35.1" customHeight="1" x14ac:dyDescent="0.25">
      <c r="A13" s="336"/>
      <c r="B13" s="340"/>
      <c r="C13" s="64"/>
      <c r="D13" s="338" t="s">
        <v>18</v>
      </c>
      <c r="E13" s="338" t="s">
        <v>379</v>
      </c>
      <c r="F13" s="338" t="s">
        <v>387</v>
      </c>
      <c r="G13" s="338" t="s">
        <v>276</v>
      </c>
      <c r="H13" s="333"/>
      <c r="I13" s="333"/>
      <c r="J13" s="333"/>
      <c r="K13" s="333"/>
      <c r="L13" s="333"/>
      <c r="M13" s="333"/>
      <c r="N13" s="333"/>
      <c r="O13" s="333"/>
      <c r="P13" s="333">
        <v>4000</v>
      </c>
      <c r="Q13" s="333">
        <v>0</v>
      </c>
      <c r="R13" s="333">
        <v>0</v>
      </c>
      <c r="S13" s="333">
        <f>SUM(P13:R13)</f>
        <v>4000</v>
      </c>
      <c r="T13" s="341"/>
    </row>
    <row r="14" spans="1:23" ht="35.1" customHeight="1" x14ac:dyDescent="0.25">
      <c r="A14" s="336"/>
      <c r="B14" s="340"/>
      <c r="C14" s="64"/>
      <c r="D14" s="338" t="s">
        <v>18</v>
      </c>
      <c r="E14" s="338" t="s">
        <v>379</v>
      </c>
      <c r="F14" s="338" t="s">
        <v>388</v>
      </c>
      <c r="G14" s="338" t="s">
        <v>276</v>
      </c>
      <c r="H14" s="333"/>
      <c r="I14" s="333"/>
      <c r="J14" s="333"/>
      <c r="K14" s="333"/>
      <c r="L14" s="333"/>
      <c r="M14" s="333"/>
      <c r="N14" s="333"/>
      <c r="O14" s="333"/>
      <c r="P14" s="333">
        <v>170</v>
      </c>
      <c r="Q14" s="333">
        <v>0</v>
      </c>
      <c r="R14" s="333">
        <v>0</v>
      </c>
      <c r="S14" s="333">
        <f>SUM(P14:R14)</f>
        <v>170</v>
      </c>
      <c r="T14" s="341"/>
    </row>
    <row r="15" spans="1:23" ht="35.1" customHeight="1" x14ac:dyDescent="0.25">
      <c r="A15" s="336"/>
      <c r="B15" s="340"/>
      <c r="C15" s="64"/>
      <c r="D15" s="338" t="s">
        <v>18</v>
      </c>
      <c r="E15" s="338" t="s">
        <v>379</v>
      </c>
      <c r="F15" s="338" t="s">
        <v>389</v>
      </c>
      <c r="G15" s="338" t="s">
        <v>276</v>
      </c>
      <c r="H15" s="333">
        <v>0</v>
      </c>
      <c r="I15" s="333">
        <v>0</v>
      </c>
      <c r="J15" s="333">
        <v>106.2</v>
      </c>
      <c r="K15" s="333">
        <v>48</v>
      </c>
      <c r="L15" s="333"/>
      <c r="M15" s="333"/>
      <c r="N15" s="333">
        <v>55.5</v>
      </c>
      <c r="O15" s="333">
        <v>60</v>
      </c>
      <c r="P15" s="333">
        <v>65</v>
      </c>
      <c r="Q15" s="333">
        <f>P15</f>
        <v>65</v>
      </c>
      <c r="R15" s="333">
        <f t="shared" si="0"/>
        <v>65</v>
      </c>
      <c r="S15" s="333">
        <f t="shared" si="1"/>
        <v>464.7</v>
      </c>
      <c r="T15" s="341"/>
    </row>
    <row r="16" spans="1:23" ht="35.1" customHeight="1" x14ac:dyDescent="0.25">
      <c r="A16" s="336"/>
      <c r="B16" s="340"/>
      <c r="C16" s="64"/>
      <c r="D16" s="338" t="s">
        <v>18</v>
      </c>
      <c r="E16" s="338" t="s">
        <v>379</v>
      </c>
      <c r="F16" s="338" t="s">
        <v>389</v>
      </c>
      <c r="G16" s="338" t="s">
        <v>278</v>
      </c>
      <c r="H16" s="333">
        <v>0</v>
      </c>
      <c r="I16" s="333">
        <v>0</v>
      </c>
      <c r="J16" s="333">
        <v>55.8</v>
      </c>
      <c r="K16" s="333">
        <v>0</v>
      </c>
      <c r="L16" s="333">
        <v>46</v>
      </c>
      <c r="M16" s="333">
        <v>47.3</v>
      </c>
      <c r="N16" s="333">
        <v>3</v>
      </c>
      <c r="O16" s="333">
        <v>22.9</v>
      </c>
      <c r="P16" s="333">
        <v>0</v>
      </c>
      <c r="Q16" s="333">
        <v>0</v>
      </c>
      <c r="R16" s="333">
        <v>0</v>
      </c>
      <c r="S16" s="333">
        <f t="shared" si="1"/>
        <v>175</v>
      </c>
      <c r="T16" s="341"/>
    </row>
    <row r="17" spans="1:20" ht="35.1" customHeight="1" x14ac:dyDescent="0.25">
      <c r="A17" s="229"/>
      <c r="B17" s="340"/>
      <c r="C17" s="64"/>
      <c r="D17" s="338" t="s">
        <v>18</v>
      </c>
      <c r="E17" s="338" t="s">
        <v>379</v>
      </c>
      <c r="F17" s="338" t="s">
        <v>390</v>
      </c>
      <c r="G17" s="338" t="s">
        <v>276</v>
      </c>
      <c r="H17" s="333"/>
      <c r="I17" s="333"/>
      <c r="J17" s="333"/>
      <c r="K17" s="333"/>
      <c r="L17" s="333"/>
      <c r="M17" s="333"/>
      <c r="N17" s="333"/>
      <c r="O17" s="333"/>
      <c r="P17" s="333">
        <v>3763.9</v>
      </c>
      <c r="Q17" s="333">
        <v>0</v>
      </c>
      <c r="R17" s="333">
        <v>0</v>
      </c>
      <c r="S17" s="333">
        <f>SUM(H17:R17)</f>
        <v>3763.9</v>
      </c>
      <c r="T17" s="341"/>
    </row>
    <row r="18" spans="1:20" ht="35.1" customHeight="1" x14ac:dyDescent="0.25">
      <c r="A18" s="229"/>
      <c r="B18" s="340"/>
      <c r="C18" s="64"/>
      <c r="D18" s="338" t="s">
        <v>18</v>
      </c>
      <c r="E18" s="338" t="s">
        <v>379</v>
      </c>
      <c r="F18" s="338" t="s">
        <v>391</v>
      </c>
      <c r="G18" s="338" t="s">
        <v>276</v>
      </c>
      <c r="H18" s="333"/>
      <c r="I18" s="333"/>
      <c r="J18" s="333"/>
      <c r="K18" s="333"/>
      <c r="L18" s="333"/>
      <c r="M18" s="333"/>
      <c r="N18" s="333"/>
      <c r="O18" s="333"/>
      <c r="P18" s="333">
        <f>2100-197.3</f>
        <v>1902.7</v>
      </c>
      <c r="Q18" s="333">
        <v>0</v>
      </c>
      <c r="R18" s="333">
        <v>0</v>
      </c>
      <c r="S18" s="333">
        <f t="shared" si="1"/>
        <v>1902.7</v>
      </c>
      <c r="T18" s="341"/>
    </row>
    <row r="19" spans="1:20" ht="35.1" customHeight="1" x14ac:dyDescent="0.25">
      <c r="A19" s="229"/>
      <c r="B19" s="340"/>
      <c r="C19" s="64"/>
      <c r="D19" s="338" t="s">
        <v>18</v>
      </c>
      <c r="E19" s="338" t="s">
        <v>379</v>
      </c>
      <c r="F19" s="338" t="s">
        <v>392</v>
      </c>
      <c r="G19" s="338" t="s">
        <v>276</v>
      </c>
      <c r="H19" s="333"/>
      <c r="I19" s="333"/>
      <c r="J19" s="333"/>
      <c r="K19" s="333"/>
      <c r="L19" s="333"/>
      <c r="M19" s="333">
        <f>2957.5-160</f>
        <v>2797.5</v>
      </c>
      <c r="N19" s="333"/>
      <c r="O19" s="333"/>
      <c r="P19" s="333">
        <f t="shared" ref="P19:Q23" si="2">O19</f>
        <v>0</v>
      </c>
      <c r="Q19" s="333">
        <f t="shared" si="2"/>
        <v>0</v>
      </c>
      <c r="R19" s="333">
        <f t="shared" si="0"/>
        <v>0</v>
      </c>
      <c r="S19" s="333">
        <f t="shared" si="1"/>
        <v>2797.5</v>
      </c>
      <c r="T19" s="341"/>
    </row>
    <row r="20" spans="1:20" ht="35.1" customHeight="1" x14ac:dyDescent="0.25">
      <c r="A20" s="229"/>
      <c r="B20" s="340"/>
      <c r="C20" s="64"/>
      <c r="D20" s="338" t="s">
        <v>18</v>
      </c>
      <c r="E20" s="338" t="s">
        <v>379</v>
      </c>
      <c r="F20" s="338" t="s">
        <v>392</v>
      </c>
      <c r="G20" s="338" t="s">
        <v>276</v>
      </c>
      <c r="H20" s="333"/>
      <c r="I20" s="333"/>
      <c r="J20" s="333"/>
      <c r="K20" s="333"/>
      <c r="L20" s="333"/>
      <c r="M20" s="333">
        <v>160</v>
      </c>
      <c r="N20" s="333"/>
      <c r="O20" s="333"/>
      <c r="P20" s="333">
        <f t="shared" si="2"/>
        <v>0</v>
      </c>
      <c r="Q20" s="333">
        <f t="shared" si="2"/>
        <v>0</v>
      </c>
      <c r="R20" s="333">
        <f t="shared" si="0"/>
        <v>0</v>
      </c>
      <c r="S20" s="333">
        <f t="shared" si="1"/>
        <v>160</v>
      </c>
      <c r="T20" s="341"/>
    </row>
    <row r="21" spans="1:20" ht="35.1" customHeight="1" x14ac:dyDescent="0.25">
      <c r="A21" s="229"/>
      <c r="B21" s="340"/>
      <c r="C21" s="64"/>
      <c r="D21" s="338" t="s">
        <v>18</v>
      </c>
      <c r="E21" s="338" t="s">
        <v>379</v>
      </c>
      <c r="F21" s="338" t="s">
        <v>393</v>
      </c>
      <c r="G21" s="338" t="s">
        <v>394</v>
      </c>
      <c r="H21" s="333"/>
      <c r="I21" s="333"/>
      <c r="J21" s="333"/>
      <c r="K21" s="333"/>
      <c r="L21" s="333">
        <v>4549.5</v>
      </c>
      <c r="M21" s="333">
        <v>3564.6</v>
      </c>
      <c r="N21" s="333"/>
      <c r="O21" s="333"/>
      <c r="P21" s="333">
        <f t="shared" si="2"/>
        <v>0</v>
      </c>
      <c r="Q21" s="333">
        <f t="shared" si="2"/>
        <v>0</v>
      </c>
      <c r="R21" s="333">
        <f t="shared" si="0"/>
        <v>0</v>
      </c>
      <c r="S21" s="333">
        <f t="shared" si="1"/>
        <v>8114.1</v>
      </c>
      <c r="T21" s="341"/>
    </row>
    <row r="22" spans="1:20" ht="35.1" customHeight="1" x14ac:dyDescent="0.25">
      <c r="A22" s="229"/>
      <c r="B22" s="340"/>
      <c r="C22" s="64"/>
      <c r="D22" s="338" t="s">
        <v>18</v>
      </c>
      <c r="E22" s="338" t="s">
        <v>379</v>
      </c>
      <c r="F22" s="338" t="s">
        <v>395</v>
      </c>
      <c r="G22" s="338" t="s">
        <v>394</v>
      </c>
      <c r="H22" s="333"/>
      <c r="I22" s="333"/>
      <c r="J22" s="333"/>
      <c r="K22" s="333"/>
      <c r="L22" s="333">
        <v>505.5</v>
      </c>
      <c r="M22" s="333">
        <v>39.799999999999997</v>
      </c>
      <c r="N22" s="333"/>
      <c r="O22" s="333"/>
      <c r="P22" s="333">
        <f t="shared" si="2"/>
        <v>0</v>
      </c>
      <c r="Q22" s="333">
        <f t="shared" si="2"/>
        <v>0</v>
      </c>
      <c r="R22" s="333">
        <f t="shared" si="0"/>
        <v>0</v>
      </c>
      <c r="S22" s="333">
        <f t="shared" si="1"/>
        <v>545.29999999999995</v>
      </c>
      <c r="T22" s="341"/>
    </row>
    <row r="23" spans="1:20" ht="35.1" customHeight="1" x14ac:dyDescent="0.25">
      <c r="A23" s="229"/>
      <c r="B23" s="342"/>
      <c r="C23" s="224"/>
      <c r="D23" s="338"/>
      <c r="E23" s="338" t="s">
        <v>379</v>
      </c>
      <c r="F23" s="338" t="s">
        <v>396</v>
      </c>
      <c r="G23" s="343">
        <v>240</v>
      </c>
      <c r="H23" s="333"/>
      <c r="I23" s="333"/>
      <c r="J23" s="333"/>
      <c r="K23" s="333"/>
      <c r="L23" s="333"/>
      <c r="M23" s="333">
        <v>7000</v>
      </c>
      <c r="N23" s="333"/>
      <c r="O23" s="333"/>
      <c r="P23" s="333">
        <f t="shared" si="2"/>
        <v>0</v>
      </c>
      <c r="Q23" s="333">
        <f t="shared" si="2"/>
        <v>0</v>
      </c>
      <c r="R23" s="333">
        <f t="shared" si="0"/>
        <v>0</v>
      </c>
      <c r="S23" s="333">
        <f t="shared" si="1"/>
        <v>7000</v>
      </c>
      <c r="T23" s="344"/>
    </row>
    <row r="24" spans="1:20" ht="35.1" customHeight="1" x14ac:dyDescent="0.25">
      <c r="A24" s="336" t="s">
        <v>138</v>
      </c>
      <c r="B24" s="337" t="s">
        <v>397</v>
      </c>
      <c r="C24" s="63" t="s">
        <v>17</v>
      </c>
      <c r="D24" s="338" t="s">
        <v>18</v>
      </c>
      <c r="E24" s="338" t="s">
        <v>398</v>
      </c>
      <c r="F24" s="338" t="s">
        <v>399</v>
      </c>
      <c r="G24" s="338" t="s">
        <v>276</v>
      </c>
      <c r="H24" s="333">
        <v>5267.9</v>
      </c>
      <c r="I24" s="333">
        <v>4744.6000000000004</v>
      </c>
      <c r="J24" s="333">
        <v>5833</v>
      </c>
      <c r="K24" s="333">
        <v>6378.5</v>
      </c>
      <c r="L24" s="333">
        <v>8215.2000000000007</v>
      </c>
      <c r="M24" s="333">
        <v>7991.1</v>
      </c>
      <c r="N24" s="333">
        <v>7717.2</v>
      </c>
      <c r="O24" s="333">
        <v>8112.8</v>
      </c>
      <c r="P24" s="333">
        <v>10788.5</v>
      </c>
      <c r="Q24" s="333">
        <v>10788.5</v>
      </c>
      <c r="R24" s="333">
        <v>10788.5</v>
      </c>
      <c r="S24" s="333">
        <f t="shared" si="1"/>
        <v>86625.8</v>
      </c>
      <c r="T24" s="33" t="s">
        <v>400</v>
      </c>
    </row>
    <row r="25" spans="1:20" ht="35.1" customHeight="1" x14ac:dyDescent="0.25">
      <c r="A25" s="336"/>
      <c r="B25" s="340"/>
      <c r="C25" s="63"/>
      <c r="D25" s="338" t="s">
        <v>18</v>
      </c>
      <c r="E25" s="338" t="s">
        <v>398</v>
      </c>
      <c r="F25" s="338" t="s">
        <v>399</v>
      </c>
      <c r="G25" s="338" t="s">
        <v>278</v>
      </c>
      <c r="H25" s="333">
        <v>1080.8</v>
      </c>
      <c r="I25" s="333">
        <v>1020.8</v>
      </c>
      <c r="J25" s="333">
        <v>1237.7</v>
      </c>
      <c r="K25" s="333">
        <v>1529.5</v>
      </c>
      <c r="L25" s="333">
        <v>1757.5</v>
      </c>
      <c r="M25" s="333">
        <v>1484.6</v>
      </c>
      <c r="N25" s="333">
        <v>1296.2</v>
      </c>
      <c r="O25" s="333">
        <v>1287.2</v>
      </c>
      <c r="P25" s="333">
        <v>1840.2</v>
      </c>
      <c r="Q25" s="333">
        <v>1840.2</v>
      </c>
      <c r="R25" s="333">
        <v>1840.2</v>
      </c>
      <c r="S25" s="333">
        <f t="shared" si="1"/>
        <v>16214.900000000003</v>
      </c>
      <c r="T25" s="33"/>
    </row>
    <row r="26" spans="1:20" ht="35.1" customHeight="1" x14ac:dyDescent="0.25">
      <c r="A26" s="336"/>
      <c r="B26" s="345"/>
      <c r="C26" s="63"/>
      <c r="D26" s="338" t="s">
        <v>18</v>
      </c>
      <c r="E26" s="338" t="s">
        <v>398</v>
      </c>
      <c r="F26" s="338" t="s">
        <v>399</v>
      </c>
      <c r="G26" s="338" t="s">
        <v>282</v>
      </c>
      <c r="H26" s="333"/>
      <c r="I26" s="333"/>
      <c r="J26" s="333"/>
      <c r="K26" s="333"/>
      <c r="L26" s="333"/>
      <c r="M26" s="333"/>
      <c r="N26" s="333"/>
      <c r="O26" s="333">
        <v>0</v>
      </c>
      <c r="P26" s="333">
        <v>200.6</v>
      </c>
      <c r="Q26" s="333">
        <v>6710.5</v>
      </c>
      <c r="R26" s="333">
        <v>200.6</v>
      </c>
      <c r="S26" s="333">
        <f t="shared" si="1"/>
        <v>7111.7000000000007</v>
      </c>
      <c r="T26" s="33"/>
    </row>
    <row r="27" spans="1:20" s="102" customFormat="1" ht="35.1" customHeight="1" x14ac:dyDescent="0.25">
      <c r="A27" s="336"/>
      <c r="B27" s="340" t="s">
        <v>401</v>
      </c>
      <c r="C27" s="63"/>
      <c r="D27" s="331">
        <v>975</v>
      </c>
      <c r="E27" s="338" t="s">
        <v>398</v>
      </c>
      <c r="F27" s="338" t="s">
        <v>402</v>
      </c>
      <c r="G27" s="343">
        <v>612</v>
      </c>
      <c r="H27" s="333"/>
      <c r="I27" s="333"/>
      <c r="J27" s="333"/>
      <c r="K27" s="333"/>
      <c r="L27" s="333"/>
      <c r="M27" s="333"/>
      <c r="N27" s="333">
        <v>4369.5</v>
      </c>
      <c r="O27" s="333">
        <v>9368.7000000000007</v>
      </c>
      <c r="P27" s="333">
        <v>12073.9</v>
      </c>
      <c r="Q27" s="333">
        <v>11691.7</v>
      </c>
      <c r="R27" s="333">
        <v>3410.1</v>
      </c>
      <c r="S27" s="333">
        <f t="shared" si="1"/>
        <v>40913.9</v>
      </c>
      <c r="T27" s="33"/>
    </row>
    <row r="28" spans="1:20" s="102" customFormat="1" ht="35.1" customHeight="1" x14ac:dyDescent="0.25">
      <c r="A28" s="336"/>
      <c r="B28" s="340"/>
      <c r="C28" s="63"/>
      <c r="D28" s="331">
        <v>975</v>
      </c>
      <c r="E28" s="338" t="s">
        <v>398</v>
      </c>
      <c r="F28" s="338" t="s">
        <v>402</v>
      </c>
      <c r="G28" s="343">
        <v>622</v>
      </c>
      <c r="H28" s="333"/>
      <c r="I28" s="333"/>
      <c r="J28" s="333"/>
      <c r="K28" s="333"/>
      <c r="L28" s="333"/>
      <c r="M28" s="333"/>
      <c r="N28" s="333">
        <v>1530.9</v>
      </c>
      <c r="O28" s="333">
        <v>2615.6999999999998</v>
      </c>
      <c r="P28" s="333">
        <v>3706</v>
      </c>
      <c r="Q28" s="333">
        <v>3590.5</v>
      </c>
      <c r="R28" s="333">
        <v>1043.7</v>
      </c>
      <c r="S28" s="333">
        <f t="shared" si="1"/>
        <v>12486.800000000001</v>
      </c>
      <c r="T28" s="33"/>
    </row>
    <row r="29" spans="1:20" s="102" customFormat="1" ht="47.45" customHeight="1" x14ac:dyDescent="0.25">
      <c r="A29" s="336"/>
      <c r="B29" s="340"/>
      <c r="C29" s="63"/>
      <c r="D29" s="331">
        <v>975</v>
      </c>
      <c r="E29" s="338" t="s">
        <v>398</v>
      </c>
      <c r="F29" s="338" t="s">
        <v>402</v>
      </c>
      <c r="G29" s="343">
        <v>870</v>
      </c>
      <c r="H29" s="333"/>
      <c r="I29" s="333"/>
      <c r="J29" s="333"/>
      <c r="K29" s="333"/>
      <c r="L29" s="333"/>
      <c r="M29" s="333"/>
      <c r="N29" s="333">
        <f>425.1-N30</f>
        <v>412.5</v>
      </c>
      <c r="O29" s="333">
        <v>1269.5</v>
      </c>
      <c r="P29" s="333">
        <v>1577.2</v>
      </c>
      <c r="Q29" s="333">
        <f>1495.9-2.8</f>
        <v>1493.1000000000001</v>
      </c>
      <c r="R29" s="333">
        <v>12612.8</v>
      </c>
      <c r="S29" s="333">
        <f t="shared" si="1"/>
        <v>17365.099999999999</v>
      </c>
      <c r="T29" s="33"/>
    </row>
    <row r="30" spans="1:20" s="102" customFormat="1" ht="47.45" customHeight="1" x14ac:dyDescent="0.25">
      <c r="A30" s="336"/>
      <c r="B30" s="345"/>
      <c r="C30" s="63"/>
      <c r="D30" s="331">
        <v>975</v>
      </c>
      <c r="E30" s="338" t="s">
        <v>398</v>
      </c>
      <c r="F30" s="338" t="s">
        <v>403</v>
      </c>
      <c r="G30" s="343"/>
      <c r="H30" s="333"/>
      <c r="I30" s="333"/>
      <c r="J30" s="333"/>
      <c r="K30" s="333"/>
      <c r="L30" s="333"/>
      <c r="M30" s="333"/>
      <c r="N30" s="333">
        <v>12.6</v>
      </c>
      <c r="O30" s="333">
        <v>32.700000000000003</v>
      </c>
      <c r="P30" s="333">
        <v>17.399999999999999</v>
      </c>
      <c r="Q30" s="333">
        <f>30.6+2.8</f>
        <v>33.4</v>
      </c>
      <c r="R30" s="333">
        <v>9.4</v>
      </c>
      <c r="S30" s="333">
        <f t="shared" si="1"/>
        <v>105.5</v>
      </c>
      <c r="T30" s="33"/>
    </row>
    <row r="31" spans="1:20" ht="62.45" customHeight="1" x14ac:dyDescent="0.25">
      <c r="A31" s="336"/>
      <c r="B31" s="345" t="s">
        <v>404</v>
      </c>
      <c r="C31" s="63"/>
      <c r="D31" s="331">
        <v>975</v>
      </c>
      <c r="E31" s="338" t="s">
        <v>398</v>
      </c>
      <c r="F31" s="338" t="s">
        <v>405</v>
      </c>
      <c r="G31" s="343">
        <v>870</v>
      </c>
      <c r="H31" s="333"/>
      <c r="I31" s="333"/>
      <c r="J31" s="333"/>
      <c r="K31" s="333"/>
      <c r="L31" s="333"/>
      <c r="M31" s="333"/>
      <c r="N31" s="333"/>
      <c r="O31" s="333"/>
      <c r="P31" s="333"/>
      <c r="Q31" s="333"/>
      <c r="R31" s="333">
        <f t="shared" si="0"/>
        <v>0</v>
      </c>
      <c r="S31" s="333">
        <f t="shared" si="1"/>
        <v>0</v>
      </c>
      <c r="T31" s="33"/>
    </row>
    <row r="32" spans="1:20" ht="35.1" customHeight="1" x14ac:dyDescent="0.25">
      <c r="A32" s="336"/>
      <c r="B32" s="337" t="s">
        <v>397</v>
      </c>
      <c r="C32" s="63"/>
      <c r="D32" s="338" t="s">
        <v>18</v>
      </c>
      <c r="E32" s="338" t="s">
        <v>398</v>
      </c>
      <c r="F32" s="338" t="s">
        <v>406</v>
      </c>
      <c r="G32" s="338" t="s">
        <v>276</v>
      </c>
      <c r="H32" s="333">
        <v>0</v>
      </c>
      <c r="I32" s="333">
        <v>0</v>
      </c>
      <c r="J32" s="333">
        <v>187.8</v>
      </c>
      <c r="K32" s="333">
        <v>0</v>
      </c>
      <c r="L32" s="333">
        <v>0</v>
      </c>
      <c r="M32" s="333">
        <v>0</v>
      </c>
      <c r="N32" s="333">
        <v>0</v>
      </c>
      <c r="O32" s="333">
        <v>0</v>
      </c>
      <c r="P32" s="333">
        <f t="shared" ref="P32:Q35" si="3">O32</f>
        <v>0</v>
      </c>
      <c r="Q32" s="333">
        <f t="shared" si="3"/>
        <v>0</v>
      </c>
      <c r="R32" s="333">
        <f t="shared" si="0"/>
        <v>0</v>
      </c>
      <c r="S32" s="333">
        <f t="shared" si="1"/>
        <v>187.8</v>
      </c>
      <c r="T32" s="33"/>
    </row>
    <row r="33" spans="1:20" ht="35.1" customHeight="1" x14ac:dyDescent="0.25">
      <c r="A33" s="336"/>
      <c r="B33" s="340"/>
      <c r="C33" s="63"/>
      <c r="D33" s="338" t="s">
        <v>18</v>
      </c>
      <c r="E33" s="338" t="s">
        <v>398</v>
      </c>
      <c r="F33" s="338" t="s">
        <v>406</v>
      </c>
      <c r="G33" s="338" t="s">
        <v>278</v>
      </c>
      <c r="H33" s="333">
        <v>0</v>
      </c>
      <c r="I33" s="333">
        <v>0</v>
      </c>
      <c r="J33" s="333">
        <v>101.5</v>
      </c>
      <c r="K33" s="333">
        <v>0</v>
      </c>
      <c r="L33" s="333">
        <v>0</v>
      </c>
      <c r="M33" s="333">
        <v>0</v>
      </c>
      <c r="N33" s="333">
        <v>0</v>
      </c>
      <c r="O33" s="333">
        <v>0</v>
      </c>
      <c r="P33" s="333">
        <f t="shared" si="3"/>
        <v>0</v>
      </c>
      <c r="Q33" s="333">
        <f t="shared" si="3"/>
        <v>0</v>
      </c>
      <c r="R33" s="333">
        <f t="shared" si="0"/>
        <v>0</v>
      </c>
      <c r="S33" s="333">
        <f t="shared" si="1"/>
        <v>101.5</v>
      </c>
      <c r="T33" s="33"/>
    </row>
    <row r="34" spans="1:20" s="80" customFormat="1" ht="62.25" customHeight="1" x14ac:dyDescent="0.25">
      <c r="A34" s="346" t="s">
        <v>141</v>
      </c>
      <c r="B34" s="347" t="s">
        <v>407</v>
      </c>
      <c r="C34" s="331" t="s">
        <v>17</v>
      </c>
      <c r="D34" s="338" t="s">
        <v>18</v>
      </c>
      <c r="E34" s="338" t="s">
        <v>379</v>
      </c>
      <c r="F34" s="338" t="s">
        <v>408</v>
      </c>
      <c r="G34" s="338" t="s">
        <v>276</v>
      </c>
      <c r="H34" s="333"/>
      <c r="I34" s="333">
        <v>694</v>
      </c>
      <c r="J34" s="333"/>
      <c r="K34" s="333"/>
      <c r="L34" s="333"/>
      <c r="M34" s="333"/>
      <c r="N34" s="333"/>
      <c r="O34" s="333"/>
      <c r="P34" s="333">
        <f t="shared" si="3"/>
        <v>0</v>
      </c>
      <c r="Q34" s="333">
        <f t="shared" si="3"/>
        <v>0</v>
      </c>
      <c r="R34" s="333">
        <f t="shared" si="0"/>
        <v>0</v>
      </c>
      <c r="S34" s="333">
        <f t="shared" si="1"/>
        <v>694</v>
      </c>
      <c r="T34" s="348"/>
    </row>
    <row r="35" spans="1:20" s="80" customFormat="1" ht="63.75" customHeight="1" x14ac:dyDescent="0.25">
      <c r="A35" s="346" t="s">
        <v>143</v>
      </c>
      <c r="B35" s="347" t="s">
        <v>409</v>
      </c>
      <c r="C35" s="331" t="s">
        <v>17</v>
      </c>
      <c r="D35" s="338" t="s">
        <v>18</v>
      </c>
      <c r="E35" s="338" t="s">
        <v>379</v>
      </c>
      <c r="F35" s="338" t="s">
        <v>410</v>
      </c>
      <c r="G35" s="338" t="s">
        <v>276</v>
      </c>
      <c r="H35" s="333">
        <v>0</v>
      </c>
      <c r="I35" s="333">
        <v>7.3</v>
      </c>
      <c r="J35" s="333"/>
      <c r="K35" s="333"/>
      <c r="L35" s="333"/>
      <c r="M35" s="333"/>
      <c r="N35" s="333"/>
      <c r="O35" s="333"/>
      <c r="P35" s="333">
        <f t="shared" si="3"/>
        <v>0</v>
      </c>
      <c r="Q35" s="333">
        <f t="shared" si="3"/>
        <v>0</v>
      </c>
      <c r="R35" s="333">
        <f t="shared" si="0"/>
        <v>0</v>
      </c>
      <c r="S35" s="333">
        <f t="shared" si="1"/>
        <v>7.3</v>
      </c>
      <c r="T35" s="348"/>
    </row>
    <row r="36" spans="1:20" s="102" customFormat="1" ht="46.5" customHeight="1" x14ac:dyDescent="0.25">
      <c r="A36" s="349" t="s">
        <v>411</v>
      </c>
      <c r="B36" s="350" t="s">
        <v>412</v>
      </c>
      <c r="C36" s="351" t="s">
        <v>17</v>
      </c>
      <c r="D36" s="352" t="s">
        <v>18</v>
      </c>
      <c r="E36" s="352" t="s">
        <v>379</v>
      </c>
      <c r="F36" s="352" t="s">
        <v>413</v>
      </c>
      <c r="G36" s="352" t="s">
        <v>276</v>
      </c>
      <c r="H36" s="353"/>
      <c r="I36" s="353"/>
      <c r="J36" s="353">
        <v>6.8</v>
      </c>
      <c r="K36" s="353">
        <f>6.8+86.4</f>
        <v>93.2</v>
      </c>
      <c r="L36" s="353">
        <f>46.4+46.8</f>
        <v>93.199999999999989</v>
      </c>
      <c r="M36" s="353">
        <v>7.9</v>
      </c>
      <c r="N36" s="353">
        <v>6.04</v>
      </c>
      <c r="O36" s="353">
        <v>4.9000000000000004</v>
      </c>
      <c r="P36" s="353"/>
      <c r="Q36" s="353"/>
      <c r="R36" s="353">
        <f t="shared" si="0"/>
        <v>0</v>
      </c>
      <c r="S36" s="353">
        <f t="shared" si="1"/>
        <v>212.04</v>
      </c>
      <c r="T36" s="33" t="s">
        <v>414</v>
      </c>
    </row>
    <row r="37" spans="1:20" s="102" customFormat="1" ht="35.1" customHeight="1" x14ac:dyDescent="0.25">
      <c r="A37" s="354" t="s">
        <v>415</v>
      </c>
      <c r="B37" s="355" t="s">
        <v>416</v>
      </c>
      <c r="C37" s="356" t="s">
        <v>17</v>
      </c>
      <c r="D37" s="352" t="s">
        <v>18</v>
      </c>
      <c r="E37" s="352" t="s">
        <v>379</v>
      </c>
      <c r="F37" s="352" t="s">
        <v>413</v>
      </c>
      <c r="G37" s="352" t="s">
        <v>278</v>
      </c>
      <c r="H37" s="353"/>
      <c r="I37" s="353"/>
      <c r="J37" s="353">
        <v>16.7</v>
      </c>
      <c r="K37" s="353">
        <f>10.1+2</f>
        <v>12.1</v>
      </c>
      <c r="L37" s="353">
        <v>10.5</v>
      </c>
      <c r="M37" s="353">
        <v>1.9</v>
      </c>
      <c r="N37" s="353">
        <f>1.58-0.12</f>
        <v>1.46</v>
      </c>
      <c r="O37" s="353">
        <v>1.6</v>
      </c>
      <c r="P37" s="353">
        <v>2.7</v>
      </c>
      <c r="Q37" s="353"/>
      <c r="R37" s="353">
        <f t="shared" si="0"/>
        <v>0</v>
      </c>
      <c r="S37" s="353">
        <f t="shared" si="1"/>
        <v>46.96</v>
      </c>
      <c r="T37" s="33"/>
    </row>
    <row r="38" spans="1:20" s="102" customFormat="1" ht="35.1" customHeight="1" x14ac:dyDescent="0.25">
      <c r="A38" s="354"/>
      <c r="B38" s="355"/>
      <c r="C38" s="356"/>
      <c r="D38" s="352" t="s">
        <v>18</v>
      </c>
      <c r="E38" s="352" t="s">
        <v>379</v>
      </c>
      <c r="F38" s="352" t="s">
        <v>417</v>
      </c>
      <c r="G38" s="352" t="s">
        <v>276</v>
      </c>
      <c r="H38" s="353"/>
      <c r="I38" s="353"/>
      <c r="J38" s="353">
        <v>7.2</v>
      </c>
      <c r="K38" s="353"/>
      <c r="L38" s="353"/>
      <c r="M38" s="353"/>
      <c r="N38" s="353">
        <v>6</v>
      </c>
      <c r="O38" s="353">
        <v>1</v>
      </c>
      <c r="P38" s="353">
        <v>10.3</v>
      </c>
      <c r="Q38" s="353"/>
      <c r="R38" s="353">
        <f t="shared" si="0"/>
        <v>0</v>
      </c>
      <c r="S38" s="353">
        <f t="shared" si="1"/>
        <v>24.5</v>
      </c>
      <c r="T38" s="33"/>
    </row>
    <row r="39" spans="1:20" ht="35.1" customHeight="1" x14ac:dyDescent="0.25">
      <c r="A39" s="336" t="s">
        <v>418</v>
      </c>
      <c r="B39" s="62" t="s">
        <v>419</v>
      </c>
      <c r="C39" s="330" t="s">
        <v>17</v>
      </c>
      <c r="D39" s="338" t="s">
        <v>18</v>
      </c>
      <c r="E39" s="338" t="s">
        <v>379</v>
      </c>
      <c r="F39" s="338" t="s">
        <v>420</v>
      </c>
      <c r="G39" s="338" t="s">
        <v>421</v>
      </c>
      <c r="H39" s="333"/>
      <c r="I39" s="333"/>
      <c r="J39" s="333"/>
      <c r="K39" s="333"/>
      <c r="L39" s="333"/>
      <c r="M39" s="333"/>
      <c r="N39" s="333">
        <v>0</v>
      </c>
      <c r="O39" s="333">
        <v>0</v>
      </c>
      <c r="P39" s="333">
        <v>0</v>
      </c>
      <c r="Q39" s="333">
        <v>0</v>
      </c>
      <c r="R39" s="333">
        <f t="shared" si="0"/>
        <v>0</v>
      </c>
      <c r="S39" s="333">
        <f t="shared" si="1"/>
        <v>0</v>
      </c>
      <c r="T39" s="40"/>
    </row>
    <row r="40" spans="1:20" ht="35.1" customHeight="1" x14ac:dyDescent="0.25">
      <c r="A40" s="336"/>
      <c r="B40" s="224"/>
      <c r="C40" s="330"/>
      <c r="D40" s="338" t="s">
        <v>18</v>
      </c>
      <c r="E40" s="338" t="s">
        <v>379</v>
      </c>
      <c r="F40" s="338" t="s">
        <v>422</v>
      </c>
      <c r="G40" s="338" t="s">
        <v>421</v>
      </c>
      <c r="H40" s="333"/>
      <c r="I40" s="333"/>
      <c r="J40" s="333"/>
      <c r="K40" s="333"/>
      <c r="L40" s="333"/>
      <c r="M40" s="333"/>
      <c r="N40" s="333"/>
      <c r="O40" s="333">
        <v>0</v>
      </c>
      <c r="P40" s="333">
        <v>0</v>
      </c>
      <c r="Q40" s="333">
        <v>0</v>
      </c>
      <c r="R40" s="333">
        <f t="shared" si="0"/>
        <v>0</v>
      </c>
      <c r="S40" s="333">
        <f t="shared" si="1"/>
        <v>0</v>
      </c>
      <c r="T40" s="75"/>
    </row>
    <row r="41" spans="1:20" ht="35.1" customHeight="1" x14ac:dyDescent="0.25">
      <c r="A41" s="336" t="s">
        <v>423</v>
      </c>
      <c r="B41" s="62" t="s">
        <v>424</v>
      </c>
      <c r="C41" s="330" t="s">
        <v>17</v>
      </c>
      <c r="D41" s="338" t="s">
        <v>18</v>
      </c>
      <c r="E41" s="338" t="s">
        <v>379</v>
      </c>
      <c r="F41" s="338" t="s">
        <v>422</v>
      </c>
      <c r="G41" s="338" t="s">
        <v>276</v>
      </c>
      <c r="H41" s="333"/>
      <c r="I41" s="333"/>
      <c r="J41" s="333"/>
      <c r="K41" s="333"/>
      <c r="L41" s="333"/>
      <c r="M41" s="333"/>
      <c r="N41" s="333"/>
      <c r="O41" s="333">
        <v>0</v>
      </c>
      <c r="P41" s="333">
        <v>0</v>
      </c>
      <c r="Q41" s="333">
        <v>0</v>
      </c>
      <c r="R41" s="333">
        <f t="shared" si="0"/>
        <v>0</v>
      </c>
      <c r="S41" s="333">
        <f t="shared" si="1"/>
        <v>0</v>
      </c>
    </row>
    <row r="42" spans="1:20" ht="35.1" customHeight="1" x14ac:dyDescent="0.25">
      <c r="A42" s="336"/>
      <c r="B42" s="224"/>
      <c r="C42" s="330"/>
      <c r="D42" s="338" t="s">
        <v>18</v>
      </c>
      <c r="E42" s="338" t="s">
        <v>379</v>
      </c>
      <c r="F42" s="338" t="s">
        <v>422</v>
      </c>
      <c r="G42" s="338" t="s">
        <v>421</v>
      </c>
      <c r="H42" s="333"/>
      <c r="I42" s="333"/>
      <c r="J42" s="333"/>
      <c r="K42" s="333"/>
      <c r="L42" s="333"/>
      <c r="M42" s="333"/>
      <c r="N42" s="333"/>
      <c r="O42" s="333">
        <v>0</v>
      </c>
      <c r="P42" s="333">
        <v>0</v>
      </c>
      <c r="Q42" s="333">
        <f>P42</f>
        <v>0</v>
      </c>
      <c r="R42" s="333">
        <f t="shared" si="0"/>
        <v>0</v>
      </c>
      <c r="S42" s="333">
        <f t="shared" si="1"/>
        <v>0</v>
      </c>
    </row>
    <row r="43" spans="1:20" ht="35.1" customHeight="1" x14ac:dyDescent="0.25">
      <c r="A43" s="336" t="s">
        <v>425</v>
      </c>
      <c r="B43" s="357" t="s">
        <v>426</v>
      </c>
      <c r="C43" s="330" t="s">
        <v>17</v>
      </c>
      <c r="D43" s="338" t="s">
        <v>18</v>
      </c>
      <c r="E43" s="338" t="s">
        <v>379</v>
      </c>
      <c r="F43" s="338" t="s">
        <v>427</v>
      </c>
      <c r="G43" s="338" t="s">
        <v>276</v>
      </c>
      <c r="H43" s="333"/>
      <c r="I43" s="333"/>
      <c r="J43" s="333"/>
      <c r="K43" s="333"/>
      <c r="L43" s="333"/>
      <c r="M43" s="333"/>
      <c r="N43" s="333">
        <v>1800</v>
      </c>
      <c r="O43" s="333">
        <v>600</v>
      </c>
      <c r="P43" s="333">
        <v>0</v>
      </c>
      <c r="Q43" s="333">
        <f>P43</f>
        <v>0</v>
      </c>
      <c r="R43" s="333">
        <f t="shared" si="0"/>
        <v>0</v>
      </c>
      <c r="S43" s="333">
        <f t="shared" si="1"/>
        <v>2400</v>
      </c>
      <c r="T43" s="40"/>
    </row>
    <row r="44" spans="1:20" ht="35.1" customHeight="1" x14ac:dyDescent="0.25">
      <c r="A44" s="336"/>
      <c r="B44" s="358"/>
      <c r="C44" s="330"/>
      <c r="D44" s="338" t="s">
        <v>18</v>
      </c>
      <c r="E44" s="338" t="s">
        <v>379</v>
      </c>
      <c r="F44" s="338" t="s">
        <v>427</v>
      </c>
      <c r="G44" s="338" t="s">
        <v>278</v>
      </c>
      <c r="H44" s="333"/>
      <c r="I44" s="333"/>
      <c r="J44" s="333"/>
      <c r="K44" s="333"/>
      <c r="L44" s="333"/>
      <c r="M44" s="333"/>
      <c r="N44" s="333">
        <v>0</v>
      </c>
      <c r="O44" s="333">
        <v>600</v>
      </c>
      <c r="P44" s="333">
        <v>0</v>
      </c>
      <c r="Q44" s="333">
        <v>0</v>
      </c>
      <c r="R44" s="333">
        <f t="shared" si="0"/>
        <v>0</v>
      </c>
      <c r="S44" s="333">
        <f t="shared" si="1"/>
        <v>600</v>
      </c>
      <c r="T44" s="75"/>
    </row>
    <row r="45" spans="1:20" ht="52.9" customHeight="1" x14ac:dyDescent="0.25">
      <c r="A45" s="336" t="s">
        <v>428</v>
      </c>
      <c r="B45" s="62" t="s">
        <v>429</v>
      </c>
      <c r="C45" s="62" t="s">
        <v>17</v>
      </c>
      <c r="D45" s="338" t="s">
        <v>18</v>
      </c>
      <c r="E45" s="338" t="s">
        <v>379</v>
      </c>
      <c r="F45" s="338" t="s">
        <v>430</v>
      </c>
      <c r="G45" s="338" t="s">
        <v>431</v>
      </c>
      <c r="H45" s="333"/>
      <c r="I45" s="333"/>
      <c r="J45" s="333"/>
      <c r="K45" s="333"/>
      <c r="L45" s="333"/>
      <c r="M45" s="333"/>
      <c r="N45" s="333">
        <v>90</v>
      </c>
      <c r="O45" s="333">
        <v>24.6</v>
      </c>
      <c r="P45" s="333">
        <v>0</v>
      </c>
      <c r="Q45" s="333">
        <f>P45</f>
        <v>0</v>
      </c>
      <c r="R45" s="333">
        <f t="shared" si="0"/>
        <v>0</v>
      </c>
      <c r="S45" s="333">
        <f t="shared" si="1"/>
        <v>114.6</v>
      </c>
    </row>
    <row r="46" spans="1:20" ht="61.9" customHeight="1" x14ac:dyDescent="0.25">
      <c r="A46" s="336"/>
      <c r="B46" s="64"/>
      <c r="C46" s="64"/>
      <c r="D46" s="338" t="s">
        <v>18</v>
      </c>
      <c r="E46" s="338" t="s">
        <v>379</v>
      </c>
      <c r="F46" s="338" t="s">
        <v>432</v>
      </c>
      <c r="G46" s="338" t="s">
        <v>276</v>
      </c>
      <c r="H46" s="333"/>
      <c r="I46" s="333"/>
      <c r="J46" s="333"/>
      <c r="K46" s="333"/>
      <c r="L46" s="333"/>
      <c r="M46" s="333"/>
      <c r="N46" s="333">
        <v>0</v>
      </c>
      <c r="O46" s="333">
        <v>0</v>
      </c>
      <c r="P46" s="333">
        <v>0</v>
      </c>
      <c r="Q46" s="333">
        <v>1151.2</v>
      </c>
      <c r="R46" s="333">
        <v>0</v>
      </c>
      <c r="S46" s="333">
        <f t="shared" si="1"/>
        <v>1151.2</v>
      </c>
    </row>
    <row r="47" spans="1:20" ht="61.9" customHeight="1" x14ac:dyDescent="0.25">
      <c r="A47" s="229"/>
      <c r="B47" s="64"/>
      <c r="C47" s="64"/>
      <c r="D47" s="338" t="s">
        <v>18</v>
      </c>
      <c r="E47" s="338" t="s">
        <v>379</v>
      </c>
      <c r="F47" s="338" t="s">
        <v>433</v>
      </c>
      <c r="G47" s="338" t="s">
        <v>276</v>
      </c>
      <c r="H47" s="333"/>
      <c r="I47" s="333"/>
      <c r="J47" s="333"/>
      <c r="K47" s="333"/>
      <c r="L47" s="333"/>
      <c r="M47" s="333"/>
      <c r="N47" s="333">
        <v>0</v>
      </c>
      <c r="O47" s="333">
        <v>0</v>
      </c>
      <c r="P47" s="333">
        <v>0</v>
      </c>
      <c r="Q47" s="333">
        <v>23.5</v>
      </c>
      <c r="R47" s="333">
        <v>0</v>
      </c>
      <c r="S47" s="333">
        <f t="shared" si="1"/>
        <v>23.5</v>
      </c>
    </row>
    <row r="48" spans="1:20" ht="61.9" customHeight="1" x14ac:dyDescent="0.25">
      <c r="A48" s="229"/>
      <c r="B48" s="64"/>
      <c r="C48" s="64"/>
      <c r="D48" s="338" t="s">
        <v>18</v>
      </c>
      <c r="E48" s="338" t="s">
        <v>379</v>
      </c>
      <c r="F48" s="338" t="s">
        <v>432</v>
      </c>
      <c r="G48" s="338" t="s">
        <v>278</v>
      </c>
      <c r="H48" s="333"/>
      <c r="I48" s="333"/>
      <c r="J48" s="333"/>
      <c r="K48" s="333"/>
      <c r="L48" s="333"/>
      <c r="M48" s="333"/>
      <c r="N48" s="333">
        <v>0</v>
      </c>
      <c r="O48" s="333">
        <v>0</v>
      </c>
      <c r="P48" s="333">
        <v>0</v>
      </c>
      <c r="Q48" s="333">
        <v>0</v>
      </c>
      <c r="R48" s="333">
        <f t="shared" si="0"/>
        <v>0</v>
      </c>
      <c r="S48" s="333">
        <f t="shared" si="1"/>
        <v>0</v>
      </c>
    </row>
    <row r="49" spans="1:20" ht="61.9" customHeight="1" x14ac:dyDescent="0.25">
      <c r="A49" s="229"/>
      <c r="B49" s="224"/>
      <c r="C49" s="224"/>
      <c r="D49" s="338" t="s">
        <v>18</v>
      </c>
      <c r="E49" s="338" t="s">
        <v>379</v>
      </c>
      <c r="F49" s="338" t="s">
        <v>433</v>
      </c>
      <c r="G49" s="338" t="s">
        <v>278</v>
      </c>
      <c r="H49" s="333"/>
      <c r="I49" s="333"/>
      <c r="J49" s="333"/>
      <c r="K49" s="333"/>
      <c r="L49" s="333"/>
      <c r="M49" s="333"/>
      <c r="N49" s="333">
        <v>0</v>
      </c>
      <c r="O49" s="333">
        <v>0</v>
      </c>
      <c r="P49" s="333">
        <v>0</v>
      </c>
      <c r="Q49" s="333">
        <v>0</v>
      </c>
      <c r="R49" s="333">
        <f t="shared" si="0"/>
        <v>0</v>
      </c>
      <c r="S49" s="333">
        <f t="shared" si="1"/>
        <v>0</v>
      </c>
    </row>
    <row r="50" spans="1:20" ht="73.900000000000006" customHeight="1" x14ac:dyDescent="0.25">
      <c r="A50" s="336" t="s">
        <v>434</v>
      </c>
      <c r="B50" s="359" t="s">
        <v>426</v>
      </c>
      <c r="C50" s="330" t="s">
        <v>17</v>
      </c>
      <c r="D50" s="338" t="s">
        <v>18</v>
      </c>
      <c r="E50" s="338" t="s">
        <v>379</v>
      </c>
      <c r="F50" s="338" t="s">
        <v>432</v>
      </c>
      <c r="G50" s="338" t="s">
        <v>314</v>
      </c>
      <c r="H50" s="333"/>
      <c r="I50" s="333"/>
      <c r="J50" s="333"/>
      <c r="K50" s="333"/>
      <c r="L50" s="333"/>
      <c r="M50" s="333"/>
      <c r="N50" s="333">
        <f>2866.8-57.4</f>
        <v>2809.4</v>
      </c>
      <c r="O50" s="333">
        <v>2713.7</v>
      </c>
      <c r="P50" s="333">
        <v>0</v>
      </c>
      <c r="Q50" s="333">
        <f t="shared" ref="Q50:Q55" si="4">P50</f>
        <v>0</v>
      </c>
      <c r="R50" s="333">
        <f t="shared" si="0"/>
        <v>0</v>
      </c>
      <c r="S50" s="333">
        <f t="shared" si="1"/>
        <v>5523.1</v>
      </c>
    </row>
    <row r="51" spans="1:20" ht="78.599999999999994" customHeight="1" x14ac:dyDescent="0.25">
      <c r="A51" s="336"/>
      <c r="B51" s="360" t="s">
        <v>429</v>
      </c>
      <c r="C51" s="330"/>
      <c r="D51" s="338" t="s">
        <v>18</v>
      </c>
      <c r="E51" s="338" t="s">
        <v>379</v>
      </c>
      <c r="F51" s="338" t="s">
        <v>433</v>
      </c>
      <c r="G51" s="338" t="s">
        <v>314</v>
      </c>
      <c r="H51" s="333"/>
      <c r="I51" s="333"/>
      <c r="J51" s="333"/>
      <c r="K51" s="333"/>
      <c r="L51" s="333"/>
      <c r="M51" s="333"/>
      <c r="N51" s="333">
        <v>57.4</v>
      </c>
      <c r="O51" s="333">
        <v>55.4</v>
      </c>
      <c r="P51" s="333">
        <v>0</v>
      </c>
      <c r="Q51" s="333">
        <f t="shared" si="4"/>
        <v>0</v>
      </c>
      <c r="R51" s="333">
        <f t="shared" si="0"/>
        <v>0</v>
      </c>
      <c r="S51" s="333">
        <f t="shared" si="1"/>
        <v>112.8</v>
      </c>
    </row>
    <row r="52" spans="1:20" ht="78.599999999999994" customHeight="1" x14ac:dyDescent="0.25">
      <c r="A52" s="361" t="s">
        <v>435</v>
      </c>
      <c r="B52" s="362" t="s">
        <v>436</v>
      </c>
      <c r="C52" s="360" t="s">
        <v>17</v>
      </c>
      <c r="D52" s="338" t="s">
        <v>18</v>
      </c>
      <c r="E52" s="338" t="s">
        <v>379</v>
      </c>
      <c r="F52" s="338" t="s">
        <v>437</v>
      </c>
      <c r="G52" s="338" t="s">
        <v>276</v>
      </c>
      <c r="H52" s="333"/>
      <c r="I52" s="333"/>
      <c r="J52" s="333"/>
      <c r="K52" s="333"/>
      <c r="L52" s="333"/>
      <c r="M52" s="333"/>
      <c r="N52" s="333">
        <v>2400</v>
      </c>
      <c r="O52" s="333">
        <v>5500</v>
      </c>
      <c r="P52" s="333">
        <v>0</v>
      </c>
      <c r="Q52" s="333">
        <f t="shared" si="4"/>
        <v>0</v>
      </c>
      <c r="R52" s="333">
        <f t="shared" si="0"/>
        <v>0</v>
      </c>
      <c r="S52" s="333">
        <f t="shared" si="1"/>
        <v>7900</v>
      </c>
    </row>
    <row r="53" spans="1:20" ht="78.599999999999994" customHeight="1" x14ac:dyDescent="0.25">
      <c r="A53" s="363"/>
      <c r="B53" s="362" t="s">
        <v>438</v>
      </c>
      <c r="C53" s="360" t="s">
        <v>17</v>
      </c>
      <c r="D53" s="338" t="s">
        <v>18</v>
      </c>
      <c r="E53" s="338" t="s">
        <v>379</v>
      </c>
      <c r="F53" s="338" t="s">
        <v>439</v>
      </c>
      <c r="G53" s="338" t="s">
        <v>276</v>
      </c>
      <c r="H53" s="333"/>
      <c r="I53" s="333"/>
      <c r="J53" s="333"/>
      <c r="K53" s="333"/>
      <c r="L53" s="333"/>
      <c r="M53" s="333"/>
      <c r="N53" s="333">
        <v>400</v>
      </c>
      <c r="O53" s="333">
        <v>300</v>
      </c>
      <c r="P53" s="333">
        <v>0</v>
      </c>
      <c r="Q53" s="333">
        <f t="shared" si="4"/>
        <v>0</v>
      </c>
      <c r="R53" s="333">
        <f t="shared" si="0"/>
        <v>0</v>
      </c>
      <c r="S53" s="333">
        <f t="shared" si="1"/>
        <v>700</v>
      </c>
    </row>
    <row r="54" spans="1:20" ht="78.599999999999994" customHeight="1" x14ac:dyDescent="0.25">
      <c r="A54" s="364" t="s">
        <v>440</v>
      </c>
      <c r="B54" s="362" t="s">
        <v>441</v>
      </c>
      <c r="C54" s="360" t="s">
        <v>17</v>
      </c>
      <c r="D54" s="338" t="s">
        <v>18</v>
      </c>
      <c r="E54" s="338" t="s">
        <v>379</v>
      </c>
      <c r="F54" s="338" t="s">
        <v>393</v>
      </c>
      <c r="G54" s="338" t="s">
        <v>276</v>
      </c>
      <c r="H54" s="333"/>
      <c r="I54" s="333"/>
      <c r="J54" s="333"/>
      <c r="K54" s="333"/>
      <c r="L54" s="333"/>
      <c r="M54" s="333"/>
      <c r="N54" s="333">
        <v>856.3</v>
      </c>
      <c r="O54" s="333">
        <v>0</v>
      </c>
      <c r="P54" s="333">
        <v>0</v>
      </c>
      <c r="Q54" s="333">
        <f t="shared" si="4"/>
        <v>0</v>
      </c>
      <c r="R54" s="333">
        <f t="shared" si="0"/>
        <v>0</v>
      </c>
      <c r="S54" s="333">
        <f t="shared" si="1"/>
        <v>856.3</v>
      </c>
    </row>
    <row r="55" spans="1:20" ht="102.6" customHeight="1" x14ac:dyDescent="0.25">
      <c r="A55" s="364" t="s">
        <v>442</v>
      </c>
      <c r="B55" s="362" t="s">
        <v>443</v>
      </c>
      <c r="C55" s="360" t="s">
        <v>17</v>
      </c>
      <c r="D55" s="338" t="s">
        <v>18</v>
      </c>
      <c r="E55" s="338" t="s">
        <v>379</v>
      </c>
      <c r="F55" s="338" t="s">
        <v>395</v>
      </c>
      <c r="G55" s="338" t="s">
        <v>276</v>
      </c>
      <c r="H55" s="333"/>
      <c r="I55" s="333"/>
      <c r="J55" s="333"/>
      <c r="K55" s="333"/>
      <c r="L55" s="333"/>
      <c r="M55" s="333"/>
      <c r="N55" s="333">
        <v>95.1</v>
      </c>
      <c r="O55" s="333">
        <v>0</v>
      </c>
      <c r="P55" s="333">
        <v>0</v>
      </c>
      <c r="Q55" s="333">
        <f t="shared" si="4"/>
        <v>0</v>
      </c>
      <c r="R55" s="333">
        <f t="shared" si="0"/>
        <v>0</v>
      </c>
      <c r="S55" s="333">
        <f t="shared" si="1"/>
        <v>95.1</v>
      </c>
    </row>
    <row r="56" spans="1:20" ht="102.6" customHeight="1" x14ac:dyDescent="0.25">
      <c r="A56" s="364" t="s">
        <v>444</v>
      </c>
      <c r="B56" s="362" t="s">
        <v>445</v>
      </c>
      <c r="C56" s="360" t="s">
        <v>17</v>
      </c>
      <c r="D56" s="338" t="s">
        <v>18</v>
      </c>
      <c r="E56" s="338" t="s">
        <v>379</v>
      </c>
      <c r="F56" s="338" t="s">
        <v>446</v>
      </c>
      <c r="G56" s="338" t="s">
        <v>431</v>
      </c>
      <c r="H56" s="333"/>
      <c r="I56" s="333"/>
      <c r="J56" s="333"/>
      <c r="K56" s="333"/>
      <c r="L56" s="333"/>
      <c r="M56" s="333"/>
      <c r="N56" s="333">
        <v>2398.5</v>
      </c>
      <c r="O56" s="333">
        <v>531</v>
      </c>
      <c r="P56" s="333">
        <v>1088.8</v>
      </c>
      <c r="Q56" s="333">
        <v>0</v>
      </c>
      <c r="R56" s="333">
        <f t="shared" si="0"/>
        <v>0</v>
      </c>
      <c r="S56" s="333">
        <f t="shared" si="1"/>
        <v>4018.3</v>
      </c>
    </row>
    <row r="57" spans="1:20" ht="35.1" customHeight="1" x14ac:dyDescent="0.25">
      <c r="A57" s="365" t="s">
        <v>336</v>
      </c>
      <c r="B57" s="365"/>
      <c r="C57" s="360"/>
      <c r="D57" s="366"/>
      <c r="E57" s="366"/>
      <c r="F57" s="366"/>
      <c r="G57" s="366"/>
      <c r="H57" s="367">
        <f t="shared" ref="H57:M57" si="5">SUM(H7:H38)</f>
        <v>10161.199999999999</v>
      </c>
      <c r="I57" s="367">
        <f t="shared" si="5"/>
        <v>13094</v>
      </c>
      <c r="J57" s="367">
        <f t="shared" si="5"/>
        <v>13027.6</v>
      </c>
      <c r="K57" s="367">
        <f t="shared" si="5"/>
        <v>17311.7</v>
      </c>
      <c r="L57" s="367">
        <f t="shared" si="5"/>
        <v>20666.900000000001</v>
      </c>
      <c r="M57" s="367">
        <f t="shared" si="5"/>
        <v>26856.300000000003</v>
      </c>
      <c r="N57" s="367">
        <f>SUM(N7:N56)</f>
        <v>27723.600000000002</v>
      </c>
      <c r="O57" s="367">
        <f>SUM(O7:O56)</f>
        <v>44252.599999999991</v>
      </c>
      <c r="P57" s="367">
        <f>SUM(P7:P56)</f>
        <v>51147.8</v>
      </c>
      <c r="Q57" s="367">
        <f>SUM(Q7:Q56)</f>
        <v>38687.599999999999</v>
      </c>
      <c r="R57" s="333">
        <f t="shared" si="0"/>
        <v>38687.599999999999</v>
      </c>
      <c r="S57" s="333">
        <f t="shared" si="1"/>
        <v>301616.89999999997</v>
      </c>
      <c r="T57" s="368"/>
    </row>
    <row r="58" spans="1:20" ht="33" customHeight="1" x14ac:dyDescent="0.25">
      <c r="A58" s="251" t="s">
        <v>447</v>
      </c>
      <c r="B58" s="251"/>
      <c r="C58" s="251"/>
      <c r="D58" s="251"/>
      <c r="E58" s="251"/>
      <c r="F58" s="251"/>
      <c r="G58" s="251"/>
      <c r="H58" s="251"/>
      <c r="I58" s="251"/>
      <c r="J58" s="251"/>
      <c r="K58" s="251"/>
      <c r="L58" s="251"/>
      <c r="M58" s="251"/>
      <c r="N58" s="251"/>
      <c r="O58" s="251"/>
      <c r="P58" s="251"/>
      <c r="Q58" s="251"/>
      <c r="R58" s="251"/>
      <c r="S58" s="251"/>
      <c r="T58" s="251"/>
    </row>
    <row r="59" spans="1:20" ht="35.1" customHeight="1" x14ac:dyDescent="0.25">
      <c r="A59" s="369" t="s">
        <v>146</v>
      </c>
      <c r="B59" s="370" t="s">
        <v>448</v>
      </c>
      <c r="C59" s="330" t="s">
        <v>17</v>
      </c>
      <c r="D59" s="331" t="s">
        <v>18</v>
      </c>
      <c r="E59" s="343" t="s">
        <v>379</v>
      </c>
      <c r="F59" s="338" t="s">
        <v>384</v>
      </c>
      <c r="G59" s="343">
        <v>110</v>
      </c>
      <c r="H59" s="333">
        <v>13238</v>
      </c>
      <c r="I59" s="333">
        <v>13739.9</v>
      </c>
      <c r="J59" s="333">
        <v>12713.2</v>
      </c>
      <c r="K59" s="333">
        <v>12251.6</v>
      </c>
      <c r="L59" s="333">
        <v>11621.6</v>
      </c>
      <c r="M59" s="333">
        <v>6639.3</v>
      </c>
      <c r="N59" s="333">
        <v>0</v>
      </c>
      <c r="O59" s="333">
        <v>0</v>
      </c>
      <c r="P59" s="333">
        <v>0</v>
      </c>
      <c r="Q59" s="333">
        <f>P59</f>
        <v>0</v>
      </c>
      <c r="R59" s="333">
        <f>Q59</f>
        <v>0</v>
      </c>
      <c r="S59" s="333">
        <f>SUM(H59:R59)</f>
        <v>70203.600000000006</v>
      </c>
      <c r="T59" s="33" t="s">
        <v>449</v>
      </c>
    </row>
    <row r="60" spans="1:20" ht="35.1" customHeight="1" x14ac:dyDescent="0.25">
      <c r="A60" s="369"/>
      <c r="B60" s="370"/>
      <c r="C60" s="330"/>
      <c r="D60" s="331" t="s">
        <v>18</v>
      </c>
      <c r="E60" s="343" t="s">
        <v>379</v>
      </c>
      <c r="F60" s="338" t="s">
        <v>384</v>
      </c>
      <c r="G60" s="343">
        <v>240</v>
      </c>
      <c r="H60" s="333">
        <f>6496+150</f>
        <v>6646</v>
      </c>
      <c r="I60" s="333">
        <f>7475.8+89.9</f>
        <v>7565.7</v>
      </c>
      <c r="J60" s="333">
        <v>8087.8</v>
      </c>
      <c r="K60" s="333">
        <v>7359.7</v>
      </c>
      <c r="L60" s="333">
        <f>7456-L10</f>
        <v>6843.8</v>
      </c>
      <c r="M60" s="333">
        <v>3610.3</v>
      </c>
      <c r="N60" s="333">
        <v>0</v>
      </c>
      <c r="O60" s="333">
        <v>0</v>
      </c>
      <c r="P60" s="333">
        <v>0</v>
      </c>
      <c r="Q60" s="333">
        <f t="shared" ref="Q60:R114" si="6">P60</f>
        <v>0</v>
      </c>
      <c r="R60" s="333">
        <f t="shared" si="6"/>
        <v>0</v>
      </c>
      <c r="S60" s="333">
        <f t="shared" ref="S60:S115" si="7">SUM(H60:R60)</f>
        <v>40113.300000000003</v>
      </c>
      <c r="T60" s="33"/>
    </row>
    <row r="61" spans="1:20" ht="35.1" customHeight="1" x14ac:dyDescent="0.25">
      <c r="A61" s="369"/>
      <c r="B61" s="370"/>
      <c r="C61" s="330"/>
      <c r="D61" s="331" t="s">
        <v>18</v>
      </c>
      <c r="E61" s="343" t="s">
        <v>379</v>
      </c>
      <c r="F61" s="338" t="s">
        <v>384</v>
      </c>
      <c r="G61" s="343">
        <v>611</v>
      </c>
      <c r="H61" s="333">
        <v>36650.199999999997</v>
      </c>
      <c r="I61" s="333">
        <v>39146.800000000003</v>
      </c>
      <c r="J61" s="333">
        <v>21385.4</v>
      </c>
      <c r="K61" s="333">
        <v>20376.5</v>
      </c>
      <c r="L61" s="333">
        <v>21744.3</v>
      </c>
      <c r="M61" s="333">
        <v>21733.1</v>
      </c>
      <c r="N61" s="333">
        <v>22651.4</v>
      </c>
      <c r="O61" s="333">
        <v>4848.2</v>
      </c>
      <c r="P61" s="333">
        <v>4736.7</v>
      </c>
      <c r="Q61" s="333">
        <v>4496.6000000000004</v>
      </c>
      <c r="R61" s="333">
        <v>4496.6000000000004</v>
      </c>
      <c r="S61" s="333">
        <f t="shared" si="7"/>
        <v>202265.80000000002</v>
      </c>
      <c r="T61" s="33"/>
    </row>
    <row r="62" spans="1:20" ht="35.1" customHeight="1" x14ac:dyDescent="0.25">
      <c r="A62" s="369"/>
      <c r="B62" s="370"/>
      <c r="C62" s="330"/>
      <c r="D62" s="331" t="s">
        <v>18</v>
      </c>
      <c r="E62" s="343" t="s">
        <v>379</v>
      </c>
      <c r="F62" s="338" t="s">
        <v>450</v>
      </c>
      <c r="G62" s="343">
        <v>611</v>
      </c>
      <c r="H62" s="333"/>
      <c r="I62" s="333"/>
      <c r="J62" s="333"/>
      <c r="K62" s="333"/>
      <c r="L62" s="333"/>
      <c r="M62" s="333"/>
      <c r="N62" s="333"/>
      <c r="O62" s="333">
        <v>11734.5</v>
      </c>
      <c r="P62" s="333">
        <v>12659</v>
      </c>
      <c r="Q62" s="333">
        <v>12702.3</v>
      </c>
      <c r="R62" s="333">
        <v>12702.3</v>
      </c>
      <c r="S62" s="333">
        <f t="shared" si="7"/>
        <v>49798.100000000006</v>
      </c>
      <c r="T62" s="33"/>
    </row>
    <row r="63" spans="1:20" ht="35.1" customHeight="1" x14ac:dyDescent="0.25">
      <c r="A63" s="369"/>
      <c r="B63" s="370"/>
      <c r="C63" s="330"/>
      <c r="D63" s="331" t="s">
        <v>18</v>
      </c>
      <c r="E63" s="343" t="s">
        <v>379</v>
      </c>
      <c r="F63" s="338" t="s">
        <v>451</v>
      </c>
      <c r="G63" s="343">
        <v>611</v>
      </c>
      <c r="H63" s="333"/>
      <c r="I63" s="333"/>
      <c r="J63" s="333"/>
      <c r="K63" s="333"/>
      <c r="L63" s="333"/>
      <c r="M63" s="333"/>
      <c r="N63" s="333"/>
      <c r="O63" s="333">
        <v>24874.6</v>
      </c>
      <c r="P63" s="333">
        <v>25719.599999999999</v>
      </c>
      <c r="Q63" s="333">
        <v>23533.5</v>
      </c>
      <c r="R63" s="333">
        <v>23533.5</v>
      </c>
      <c r="S63" s="333">
        <f t="shared" si="7"/>
        <v>97661.2</v>
      </c>
      <c r="T63" s="33"/>
    </row>
    <row r="64" spans="1:20" ht="35.1" customHeight="1" x14ac:dyDescent="0.25">
      <c r="A64" s="369"/>
      <c r="B64" s="370"/>
      <c r="C64" s="330"/>
      <c r="D64" s="331" t="s">
        <v>18</v>
      </c>
      <c r="E64" s="343" t="s">
        <v>379</v>
      </c>
      <c r="F64" s="338" t="s">
        <v>451</v>
      </c>
      <c r="G64" s="343">
        <v>870</v>
      </c>
      <c r="H64" s="333"/>
      <c r="I64" s="333"/>
      <c r="J64" s="333"/>
      <c r="K64" s="333"/>
      <c r="L64" s="333"/>
      <c r="M64" s="333"/>
      <c r="N64" s="333"/>
      <c r="O64" s="333">
        <v>0</v>
      </c>
      <c r="P64" s="333">
        <v>726.4</v>
      </c>
      <c r="Q64" s="333">
        <v>1851.4</v>
      </c>
      <c r="R64" s="333">
        <v>1851.4</v>
      </c>
      <c r="S64" s="333">
        <f t="shared" si="7"/>
        <v>4429.2000000000007</v>
      </c>
      <c r="T64" s="33"/>
    </row>
    <row r="65" spans="1:20" ht="35.1" customHeight="1" x14ac:dyDescent="0.25">
      <c r="A65" s="369"/>
      <c r="B65" s="370"/>
      <c r="C65" s="330"/>
      <c r="D65" s="331">
        <v>975</v>
      </c>
      <c r="E65" s="338" t="s">
        <v>379</v>
      </c>
      <c r="F65" s="338" t="s">
        <v>384</v>
      </c>
      <c r="G65" s="343">
        <v>612</v>
      </c>
      <c r="H65" s="333">
        <v>68.5</v>
      </c>
      <c r="I65" s="333"/>
      <c r="J65" s="333">
        <v>0</v>
      </c>
      <c r="K65" s="333"/>
      <c r="L65" s="333"/>
      <c r="M65" s="333"/>
      <c r="N65" s="333"/>
      <c r="O65" s="333">
        <v>0</v>
      </c>
      <c r="P65" s="333">
        <f>O65</f>
        <v>0</v>
      </c>
      <c r="Q65" s="333">
        <f t="shared" si="6"/>
        <v>0</v>
      </c>
      <c r="R65" s="333">
        <f t="shared" si="6"/>
        <v>0</v>
      </c>
      <c r="S65" s="333">
        <f t="shared" si="7"/>
        <v>68.5</v>
      </c>
      <c r="T65" s="33"/>
    </row>
    <row r="66" spans="1:20" ht="35.1" customHeight="1" x14ac:dyDescent="0.25">
      <c r="A66" s="369"/>
      <c r="B66" s="370"/>
      <c r="C66" s="330"/>
      <c r="D66" s="331" t="s">
        <v>18</v>
      </c>
      <c r="E66" s="343" t="s">
        <v>379</v>
      </c>
      <c r="F66" s="338" t="s">
        <v>384</v>
      </c>
      <c r="G66" s="343">
        <v>621</v>
      </c>
      <c r="H66" s="333">
        <v>16861.8</v>
      </c>
      <c r="I66" s="333">
        <v>17529.8</v>
      </c>
      <c r="J66" s="333">
        <v>8899.2000000000007</v>
      </c>
      <c r="K66" s="333">
        <v>8641.4</v>
      </c>
      <c r="L66" s="333">
        <v>9217.1</v>
      </c>
      <c r="M66" s="333">
        <v>9882.6</v>
      </c>
      <c r="N66" s="333">
        <v>10200.799999999999</v>
      </c>
      <c r="O66" s="333">
        <v>2076.1999999999998</v>
      </c>
      <c r="P66" s="333">
        <v>1723</v>
      </c>
      <c r="Q66" s="333">
        <v>1642</v>
      </c>
      <c r="R66" s="333">
        <f t="shared" si="6"/>
        <v>1642</v>
      </c>
      <c r="S66" s="333">
        <f t="shared" si="7"/>
        <v>88315.900000000009</v>
      </c>
      <c r="T66" s="33"/>
    </row>
    <row r="67" spans="1:20" ht="35.1" customHeight="1" x14ac:dyDescent="0.25">
      <c r="A67" s="369"/>
      <c r="B67" s="370"/>
      <c r="C67" s="330"/>
      <c r="D67" s="331" t="s">
        <v>18</v>
      </c>
      <c r="E67" s="343" t="s">
        <v>379</v>
      </c>
      <c r="F67" s="338" t="s">
        <v>450</v>
      </c>
      <c r="G67" s="343">
        <v>621</v>
      </c>
      <c r="H67" s="333"/>
      <c r="I67" s="333"/>
      <c r="J67" s="333"/>
      <c r="K67" s="333"/>
      <c r="L67" s="333"/>
      <c r="M67" s="333"/>
      <c r="N67" s="333"/>
      <c r="O67" s="333">
        <v>4537.8999999999996</v>
      </c>
      <c r="P67" s="333">
        <v>5496.7</v>
      </c>
      <c r="Q67" s="333">
        <f t="shared" si="6"/>
        <v>5496.7</v>
      </c>
      <c r="R67" s="333">
        <f t="shared" si="6"/>
        <v>5496.7</v>
      </c>
      <c r="S67" s="333">
        <f t="shared" si="7"/>
        <v>21028</v>
      </c>
      <c r="T67" s="33"/>
    </row>
    <row r="68" spans="1:20" ht="35.1" customHeight="1" x14ac:dyDescent="0.25">
      <c r="A68" s="369"/>
      <c r="B68" s="370"/>
      <c r="C68" s="330"/>
      <c r="D68" s="331" t="s">
        <v>18</v>
      </c>
      <c r="E68" s="343" t="s">
        <v>379</v>
      </c>
      <c r="F68" s="338" t="s">
        <v>451</v>
      </c>
      <c r="G68" s="343">
        <v>621</v>
      </c>
      <c r="H68" s="333"/>
      <c r="I68" s="333"/>
      <c r="J68" s="333"/>
      <c r="K68" s="333"/>
      <c r="L68" s="333"/>
      <c r="M68" s="333"/>
      <c r="N68" s="333"/>
      <c r="O68" s="333">
        <v>5641.2</v>
      </c>
      <c r="P68" s="333">
        <v>5941.5</v>
      </c>
      <c r="Q68" s="333">
        <v>5641.2</v>
      </c>
      <c r="R68" s="333">
        <f t="shared" si="6"/>
        <v>5641.2</v>
      </c>
      <c r="S68" s="333">
        <f t="shared" si="7"/>
        <v>22865.100000000002</v>
      </c>
      <c r="T68" s="33"/>
    </row>
    <row r="69" spans="1:20" ht="35.1" customHeight="1" x14ac:dyDescent="0.25">
      <c r="A69" s="369"/>
      <c r="B69" s="370"/>
      <c r="C69" s="330"/>
      <c r="D69" s="331">
        <v>975</v>
      </c>
      <c r="E69" s="338" t="s">
        <v>379</v>
      </c>
      <c r="F69" s="338" t="s">
        <v>384</v>
      </c>
      <c r="G69" s="343">
        <v>622</v>
      </c>
      <c r="H69" s="333">
        <v>150</v>
      </c>
      <c r="I69" s="333"/>
      <c r="J69" s="333"/>
      <c r="K69" s="333"/>
      <c r="L69" s="333"/>
      <c r="M69" s="333"/>
      <c r="N69" s="333"/>
      <c r="O69" s="333"/>
      <c r="P69" s="333">
        <f>O69</f>
        <v>0</v>
      </c>
      <c r="Q69" s="333">
        <f t="shared" si="6"/>
        <v>0</v>
      </c>
      <c r="R69" s="333">
        <f t="shared" si="6"/>
        <v>0</v>
      </c>
      <c r="S69" s="333">
        <f t="shared" si="7"/>
        <v>150</v>
      </c>
      <c r="T69" s="33"/>
    </row>
    <row r="70" spans="1:20" ht="35.1" customHeight="1" x14ac:dyDescent="0.25">
      <c r="A70" s="369"/>
      <c r="B70" s="370"/>
      <c r="C70" s="330"/>
      <c r="D70" s="331">
        <v>975</v>
      </c>
      <c r="E70" s="338" t="s">
        <v>379</v>
      </c>
      <c r="F70" s="338" t="s">
        <v>384</v>
      </c>
      <c r="G70" s="343">
        <v>850</v>
      </c>
      <c r="H70" s="333">
        <v>26.5</v>
      </c>
      <c r="I70" s="333">
        <v>121.1</v>
      </c>
      <c r="J70" s="333">
        <v>14.2</v>
      </c>
      <c r="K70" s="333">
        <v>12.5</v>
      </c>
      <c r="L70" s="333">
        <v>136.1</v>
      </c>
      <c r="M70" s="333">
        <v>8.9</v>
      </c>
      <c r="N70" s="333">
        <v>0</v>
      </c>
      <c r="O70" s="333">
        <v>0</v>
      </c>
      <c r="P70" s="333">
        <v>0</v>
      </c>
      <c r="Q70" s="333">
        <f t="shared" si="6"/>
        <v>0</v>
      </c>
      <c r="R70" s="333">
        <f t="shared" si="6"/>
        <v>0</v>
      </c>
      <c r="S70" s="333">
        <f t="shared" si="7"/>
        <v>319.29999999999995</v>
      </c>
      <c r="T70" s="33"/>
    </row>
    <row r="71" spans="1:20" ht="35.1" customHeight="1" x14ac:dyDescent="0.25">
      <c r="A71" s="369"/>
      <c r="B71" s="370"/>
      <c r="C71" s="330"/>
      <c r="D71" s="331" t="s">
        <v>18</v>
      </c>
      <c r="E71" s="343" t="s">
        <v>379</v>
      </c>
      <c r="F71" s="338" t="s">
        <v>452</v>
      </c>
      <c r="G71" s="343">
        <v>110</v>
      </c>
      <c r="H71" s="333">
        <v>671.1</v>
      </c>
      <c r="I71" s="333">
        <v>882.4</v>
      </c>
      <c r="J71" s="333">
        <v>1697.2</v>
      </c>
      <c r="K71" s="333">
        <f>1447.3+437.1</f>
        <v>1884.4</v>
      </c>
      <c r="L71" s="333">
        <v>2298.1</v>
      </c>
      <c r="M71" s="333">
        <v>1906.9</v>
      </c>
      <c r="N71" s="333">
        <v>0</v>
      </c>
      <c r="O71" s="333">
        <v>0</v>
      </c>
      <c r="P71" s="333">
        <v>0</v>
      </c>
      <c r="Q71" s="333">
        <f t="shared" si="6"/>
        <v>0</v>
      </c>
      <c r="R71" s="333">
        <f t="shared" si="6"/>
        <v>0</v>
      </c>
      <c r="S71" s="333">
        <f t="shared" si="7"/>
        <v>9340.1</v>
      </c>
      <c r="T71" s="33"/>
    </row>
    <row r="72" spans="1:20" ht="35.1" customHeight="1" x14ac:dyDescent="0.25">
      <c r="A72" s="369"/>
      <c r="B72" s="370"/>
      <c r="C72" s="330"/>
      <c r="D72" s="331" t="s">
        <v>18</v>
      </c>
      <c r="E72" s="343" t="s">
        <v>379</v>
      </c>
      <c r="F72" s="338" t="s">
        <v>452</v>
      </c>
      <c r="G72" s="343">
        <v>611</v>
      </c>
      <c r="H72" s="333">
        <v>1841.5</v>
      </c>
      <c r="I72" s="333">
        <v>2844</v>
      </c>
      <c r="J72" s="333">
        <v>7162.7</v>
      </c>
      <c r="K72" s="333">
        <v>5652.6</v>
      </c>
      <c r="L72" s="333">
        <v>9203</v>
      </c>
      <c r="M72" s="333">
        <v>14852.2</v>
      </c>
      <c r="N72" s="333">
        <v>12395.1</v>
      </c>
      <c r="O72" s="333">
        <v>0</v>
      </c>
      <c r="P72" s="333">
        <v>0</v>
      </c>
      <c r="Q72" s="333">
        <f t="shared" si="6"/>
        <v>0</v>
      </c>
      <c r="R72" s="333">
        <f t="shared" si="6"/>
        <v>0</v>
      </c>
      <c r="S72" s="333">
        <f t="shared" si="7"/>
        <v>53951.1</v>
      </c>
      <c r="T72" s="33"/>
    </row>
    <row r="73" spans="1:20" ht="35.1" customHeight="1" x14ac:dyDescent="0.25">
      <c r="A73" s="369"/>
      <c r="B73" s="370"/>
      <c r="C73" s="330"/>
      <c r="D73" s="331">
        <v>975</v>
      </c>
      <c r="E73" s="338" t="s">
        <v>379</v>
      </c>
      <c r="F73" s="338" t="s">
        <v>452</v>
      </c>
      <c r="G73" s="343">
        <v>621</v>
      </c>
      <c r="H73" s="333"/>
      <c r="I73" s="333">
        <v>34.200000000000003</v>
      </c>
      <c r="J73" s="333">
        <v>65.400000000000006</v>
      </c>
      <c r="K73" s="333">
        <v>91.9</v>
      </c>
      <c r="L73" s="333">
        <v>172.8</v>
      </c>
      <c r="M73" s="333">
        <v>155.4</v>
      </c>
      <c r="N73" s="333">
        <v>179.7</v>
      </c>
      <c r="O73" s="333">
        <v>0</v>
      </c>
      <c r="P73" s="333">
        <v>0</v>
      </c>
      <c r="Q73" s="333">
        <f t="shared" si="6"/>
        <v>0</v>
      </c>
      <c r="R73" s="333">
        <f t="shared" si="6"/>
        <v>0</v>
      </c>
      <c r="S73" s="333">
        <f t="shared" si="7"/>
        <v>699.40000000000009</v>
      </c>
      <c r="T73" s="33"/>
    </row>
    <row r="74" spans="1:20" ht="35.1" customHeight="1" x14ac:dyDescent="0.25">
      <c r="A74" s="369"/>
      <c r="B74" s="370"/>
      <c r="C74" s="330"/>
      <c r="D74" s="331" t="s">
        <v>18</v>
      </c>
      <c r="E74" s="343" t="s">
        <v>379</v>
      </c>
      <c r="F74" s="338" t="s">
        <v>453</v>
      </c>
      <c r="G74" s="343">
        <v>611</v>
      </c>
      <c r="H74" s="333">
        <v>946.6</v>
      </c>
      <c r="I74" s="333">
        <v>1533.9</v>
      </c>
      <c r="J74" s="333"/>
      <c r="K74" s="333"/>
      <c r="L74" s="333"/>
      <c r="M74" s="333"/>
      <c r="N74" s="333"/>
      <c r="O74" s="333"/>
      <c r="P74" s="333">
        <f t="shared" ref="P74:P80" si="8">O74</f>
        <v>0</v>
      </c>
      <c r="Q74" s="333">
        <f t="shared" si="6"/>
        <v>0</v>
      </c>
      <c r="R74" s="333">
        <f t="shared" si="6"/>
        <v>0</v>
      </c>
      <c r="S74" s="333">
        <f t="shared" si="7"/>
        <v>2480.5</v>
      </c>
      <c r="T74" s="33"/>
    </row>
    <row r="75" spans="1:20" ht="35.1" customHeight="1" x14ac:dyDescent="0.25">
      <c r="A75" s="369"/>
      <c r="B75" s="370"/>
      <c r="C75" s="330"/>
      <c r="D75" s="331" t="s">
        <v>18</v>
      </c>
      <c r="E75" s="343" t="s">
        <v>379</v>
      </c>
      <c r="F75" s="338" t="s">
        <v>454</v>
      </c>
      <c r="G75" s="343">
        <v>110</v>
      </c>
      <c r="H75" s="333">
        <v>17</v>
      </c>
      <c r="I75" s="333"/>
      <c r="J75" s="333"/>
      <c r="K75" s="333"/>
      <c r="L75" s="333"/>
      <c r="M75" s="333"/>
      <c r="N75" s="333"/>
      <c r="O75" s="333"/>
      <c r="P75" s="333">
        <f t="shared" si="8"/>
        <v>0</v>
      </c>
      <c r="Q75" s="333">
        <f t="shared" si="6"/>
        <v>0</v>
      </c>
      <c r="R75" s="333">
        <f t="shared" si="6"/>
        <v>0</v>
      </c>
      <c r="S75" s="333">
        <f t="shared" si="7"/>
        <v>17</v>
      </c>
      <c r="T75" s="33"/>
    </row>
    <row r="76" spans="1:20" ht="35.1" customHeight="1" x14ac:dyDescent="0.25">
      <c r="A76" s="369"/>
      <c r="B76" s="370"/>
      <c r="C76" s="330"/>
      <c r="D76" s="331" t="s">
        <v>18</v>
      </c>
      <c r="E76" s="343" t="s">
        <v>379</v>
      </c>
      <c r="F76" s="338" t="s">
        <v>454</v>
      </c>
      <c r="G76" s="343">
        <v>611</v>
      </c>
      <c r="H76" s="333">
        <v>20.7</v>
      </c>
      <c r="I76" s="333"/>
      <c r="J76" s="333"/>
      <c r="K76" s="333"/>
      <c r="L76" s="333"/>
      <c r="M76" s="333"/>
      <c r="N76" s="333"/>
      <c r="O76" s="333"/>
      <c r="P76" s="333">
        <f t="shared" si="8"/>
        <v>0</v>
      </c>
      <c r="Q76" s="333">
        <f t="shared" si="6"/>
        <v>0</v>
      </c>
      <c r="R76" s="333">
        <f t="shared" si="6"/>
        <v>0</v>
      </c>
      <c r="S76" s="333">
        <f t="shared" si="7"/>
        <v>20.7</v>
      </c>
      <c r="T76" s="33"/>
    </row>
    <row r="77" spans="1:20" ht="35.1" hidden="1" customHeight="1" x14ac:dyDescent="0.25">
      <c r="A77" s="369"/>
      <c r="B77" s="370"/>
      <c r="C77" s="330"/>
      <c r="D77" s="331" t="s">
        <v>18</v>
      </c>
      <c r="E77" s="343" t="s">
        <v>379</v>
      </c>
      <c r="F77" s="338" t="s">
        <v>454</v>
      </c>
      <c r="G77" s="343">
        <v>621</v>
      </c>
      <c r="H77" s="333">
        <v>0</v>
      </c>
      <c r="I77" s="333"/>
      <c r="J77" s="333"/>
      <c r="K77" s="333"/>
      <c r="L77" s="333"/>
      <c r="M77" s="333"/>
      <c r="N77" s="333"/>
      <c r="O77" s="333"/>
      <c r="P77" s="333">
        <f t="shared" si="8"/>
        <v>0</v>
      </c>
      <c r="Q77" s="333">
        <f t="shared" si="6"/>
        <v>0</v>
      </c>
      <c r="R77" s="333">
        <f t="shared" si="6"/>
        <v>0</v>
      </c>
      <c r="S77" s="333">
        <f t="shared" si="7"/>
        <v>0</v>
      </c>
      <c r="T77" s="33"/>
    </row>
    <row r="78" spans="1:20" ht="35.1" hidden="1" customHeight="1" x14ac:dyDescent="0.25">
      <c r="A78" s="369"/>
      <c r="B78" s="370"/>
      <c r="C78" s="330"/>
      <c r="D78" s="331">
        <v>975</v>
      </c>
      <c r="E78" s="338" t="s">
        <v>379</v>
      </c>
      <c r="F78" s="338" t="s">
        <v>455</v>
      </c>
      <c r="G78" s="343">
        <v>611</v>
      </c>
      <c r="H78" s="333"/>
      <c r="I78" s="333"/>
      <c r="J78" s="333">
        <v>0</v>
      </c>
      <c r="K78" s="333"/>
      <c r="L78" s="333"/>
      <c r="M78" s="333"/>
      <c r="N78" s="333"/>
      <c r="O78" s="333"/>
      <c r="P78" s="333">
        <f t="shared" si="8"/>
        <v>0</v>
      </c>
      <c r="Q78" s="333">
        <f t="shared" si="6"/>
        <v>0</v>
      </c>
      <c r="R78" s="333">
        <f t="shared" si="6"/>
        <v>0</v>
      </c>
      <c r="S78" s="333">
        <f t="shared" si="7"/>
        <v>0</v>
      </c>
      <c r="T78" s="33"/>
    </row>
    <row r="79" spans="1:20" ht="35.1" customHeight="1" x14ac:dyDescent="0.25">
      <c r="A79" s="369"/>
      <c r="B79" s="370"/>
      <c r="C79" s="330"/>
      <c r="D79" s="331">
        <v>975</v>
      </c>
      <c r="E79" s="338" t="s">
        <v>379</v>
      </c>
      <c r="F79" s="338" t="s">
        <v>456</v>
      </c>
      <c r="G79" s="343">
        <v>611</v>
      </c>
      <c r="H79" s="333"/>
      <c r="I79" s="333"/>
      <c r="J79" s="333">
        <v>69.8</v>
      </c>
      <c r="K79" s="333"/>
      <c r="L79" s="333"/>
      <c r="M79" s="333"/>
      <c r="N79" s="333"/>
      <c r="O79" s="333"/>
      <c r="P79" s="333">
        <f t="shared" si="8"/>
        <v>0</v>
      </c>
      <c r="Q79" s="333">
        <f t="shared" si="6"/>
        <v>0</v>
      </c>
      <c r="R79" s="333">
        <f t="shared" si="6"/>
        <v>0</v>
      </c>
      <c r="S79" s="333">
        <f t="shared" si="7"/>
        <v>69.8</v>
      </c>
      <c r="T79" s="33"/>
    </row>
    <row r="80" spans="1:20" ht="35.1" customHeight="1" x14ac:dyDescent="0.25">
      <c r="A80" s="369"/>
      <c r="B80" s="370"/>
      <c r="C80" s="330"/>
      <c r="D80" s="331">
        <v>975</v>
      </c>
      <c r="E80" s="338" t="s">
        <v>379</v>
      </c>
      <c r="F80" s="338" t="s">
        <v>457</v>
      </c>
      <c r="G80" s="343">
        <v>611</v>
      </c>
      <c r="H80" s="333">
        <v>50.1</v>
      </c>
      <c r="I80" s="333">
        <v>30</v>
      </c>
      <c r="J80" s="333"/>
      <c r="K80" s="333"/>
      <c r="L80" s="333"/>
      <c r="M80" s="333"/>
      <c r="N80" s="333"/>
      <c r="O80" s="333"/>
      <c r="P80" s="333">
        <f t="shared" si="8"/>
        <v>0</v>
      </c>
      <c r="Q80" s="333">
        <f t="shared" si="6"/>
        <v>0</v>
      </c>
      <c r="R80" s="333">
        <f t="shared" si="6"/>
        <v>0</v>
      </c>
      <c r="S80" s="333">
        <f t="shared" si="7"/>
        <v>80.099999999999994</v>
      </c>
      <c r="T80" s="33"/>
    </row>
    <row r="81" spans="1:20" ht="35.1" customHeight="1" x14ac:dyDescent="0.25">
      <c r="A81" s="371"/>
      <c r="B81" s="337" t="s">
        <v>458</v>
      </c>
      <c r="C81" s="331"/>
      <c r="D81" s="331">
        <v>975</v>
      </c>
      <c r="E81" s="338" t="s">
        <v>379</v>
      </c>
      <c r="F81" s="338" t="s">
        <v>459</v>
      </c>
      <c r="G81" s="343">
        <v>611</v>
      </c>
      <c r="H81" s="333"/>
      <c r="I81" s="333"/>
      <c r="J81" s="333"/>
      <c r="K81" s="333"/>
      <c r="L81" s="333"/>
      <c r="M81" s="333"/>
      <c r="N81" s="333">
        <v>3984.1</v>
      </c>
      <c r="O81" s="333">
        <v>11751.3</v>
      </c>
      <c r="P81" s="333">
        <v>12186.7</v>
      </c>
      <c r="Q81" s="333">
        <f t="shared" si="6"/>
        <v>12186.7</v>
      </c>
      <c r="R81" s="333">
        <v>0</v>
      </c>
      <c r="S81" s="333">
        <f t="shared" si="7"/>
        <v>40108.800000000003</v>
      </c>
      <c r="T81" s="33"/>
    </row>
    <row r="82" spans="1:20" ht="35.1" customHeight="1" x14ac:dyDescent="0.25">
      <c r="A82" s="371"/>
      <c r="B82" s="340"/>
      <c r="C82" s="331"/>
      <c r="D82" s="331">
        <v>975</v>
      </c>
      <c r="E82" s="338" t="s">
        <v>379</v>
      </c>
      <c r="F82" s="338" t="s">
        <v>459</v>
      </c>
      <c r="G82" s="343">
        <v>621</v>
      </c>
      <c r="H82" s="333"/>
      <c r="I82" s="333"/>
      <c r="J82" s="333"/>
      <c r="K82" s="333"/>
      <c r="L82" s="333"/>
      <c r="M82" s="333"/>
      <c r="N82" s="333">
        <v>1210.9000000000001</v>
      </c>
      <c r="O82" s="333">
        <v>3632.6</v>
      </c>
      <c r="P82" s="333">
        <v>3632.6</v>
      </c>
      <c r="Q82" s="333">
        <f t="shared" si="6"/>
        <v>3632.6</v>
      </c>
      <c r="R82" s="333">
        <v>0</v>
      </c>
      <c r="S82" s="333">
        <f t="shared" si="7"/>
        <v>12108.7</v>
      </c>
      <c r="T82" s="33"/>
    </row>
    <row r="83" spans="1:20" ht="35.1" customHeight="1" x14ac:dyDescent="0.25">
      <c r="A83" s="371"/>
      <c r="B83" s="342"/>
      <c r="C83" s="331"/>
      <c r="D83" s="331">
        <v>975</v>
      </c>
      <c r="E83" s="338" t="s">
        <v>379</v>
      </c>
      <c r="F83" s="338" t="s">
        <v>459</v>
      </c>
      <c r="G83" s="343">
        <v>870</v>
      </c>
      <c r="H83" s="333"/>
      <c r="I83" s="333"/>
      <c r="J83" s="333"/>
      <c r="K83" s="333"/>
      <c r="L83" s="333"/>
      <c r="M83" s="333"/>
      <c r="N83" s="333">
        <v>0</v>
      </c>
      <c r="O83" s="333">
        <v>0</v>
      </c>
      <c r="P83" s="333">
        <v>703.1</v>
      </c>
      <c r="Q83" s="333">
        <f t="shared" si="6"/>
        <v>703.1</v>
      </c>
      <c r="R83" s="333">
        <v>0</v>
      </c>
      <c r="S83" s="333">
        <f t="shared" si="7"/>
        <v>1406.2</v>
      </c>
      <c r="T83" s="33"/>
    </row>
    <row r="84" spans="1:20" ht="35.1" customHeight="1" x14ac:dyDescent="0.25">
      <c r="A84" s="369" t="s">
        <v>148</v>
      </c>
      <c r="B84" s="370" t="s">
        <v>460</v>
      </c>
      <c r="C84" s="330"/>
      <c r="D84" s="331">
        <v>975</v>
      </c>
      <c r="E84" s="338" t="s">
        <v>379</v>
      </c>
      <c r="F84" s="338" t="s">
        <v>461</v>
      </c>
      <c r="G84" s="372" t="s">
        <v>462</v>
      </c>
      <c r="H84" s="333">
        <v>2069.1</v>
      </c>
      <c r="I84" s="333">
        <v>2048.5</v>
      </c>
      <c r="J84" s="333">
        <v>2159.8000000000002</v>
      </c>
      <c r="K84" s="333">
        <f>1921.59+580.31</f>
        <v>2501.8999999999996</v>
      </c>
      <c r="L84" s="333">
        <v>2453.9</v>
      </c>
      <c r="M84" s="333">
        <f>1245.3+32</f>
        <v>1277.3</v>
      </c>
      <c r="N84" s="333">
        <v>0</v>
      </c>
      <c r="O84" s="333">
        <v>0</v>
      </c>
      <c r="P84" s="333">
        <v>0</v>
      </c>
      <c r="Q84" s="333">
        <f t="shared" si="6"/>
        <v>0</v>
      </c>
      <c r="R84" s="333">
        <f t="shared" si="6"/>
        <v>0</v>
      </c>
      <c r="S84" s="333">
        <f t="shared" si="7"/>
        <v>12510.499999999998</v>
      </c>
      <c r="T84" s="33"/>
    </row>
    <row r="85" spans="1:20" ht="35.1" customHeight="1" x14ac:dyDescent="0.25">
      <c r="A85" s="369"/>
      <c r="B85" s="370"/>
      <c r="C85" s="330"/>
      <c r="D85" s="331">
        <v>975</v>
      </c>
      <c r="E85" s="338" t="s">
        <v>379</v>
      </c>
      <c r="F85" s="338" t="s">
        <v>461</v>
      </c>
      <c r="G85" s="343">
        <v>244</v>
      </c>
      <c r="H85" s="333">
        <v>48</v>
      </c>
      <c r="I85" s="333">
        <v>49.5</v>
      </c>
      <c r="J85" s="333">
        <v>152</v>
      </c>
      <c r="K85" s="333">
        <v>194.7</v>
      </c>
      <c r="L85" s="333">
        <v>150.69999999999999</v>
      </c>
      <c r="M85" s="333">
        <v>117.6</v>
      </c>
      <c r="N85" s="333">
        <v>0</v>
      </c>
      <c r="O85" s="333">
        <v>0</v>
      </c>
      <c r="P85" s="333">
        <v>0</v>
      </c>
      <c r="Q85" s="333">
        <f t="shared" si="6"/>
        <v>0</v>
      </c>
      <c r="R85" s="333">
        <f t="shared" si="6"/>
        <v>0</v>
      </c>
      <c r="S85" s="333">
        <f t="shared" si="7"/>
        <v>712.5</v>
      </c>
      <c r="T85" s="33"/>
    </row>
    <row r="86" spans="1:20" ht="35.1" customHeight="1" x14ac:dyDescent="0.25">
      <c r="A86" s="369"/>
      <c r="B86" s="370"/>
      <c r="C86" s="330"/>
      <c r="D86" s="331">
        <v>975</v>
      </c>
      <c r="E86" s="338" t="s">
        <v>379</v>
      </c>
      <c r="F86" s="338" t="s">
        <v>461</v>
      </c>
      <c r="G86" s="343">
        <v>611</v>
      </c>
      <c r="H86" s="333">
        <v>69419.8</v>
      </c>
      <c r="I86" s="333">
        <v>74727.600000000006</v>
      </c>
      <c r="J86" s="333">
        <v>75371.399999999994</v>
      </c>
      <c r="K86" s="333">
        <v>82441.7</v>
      </c>
      <c r="L86" s="333">
        <v>87113.3</v>
      </c>
      <c r="M86" s="333">
        <v>84914.7</v>
      </c>
      <c r="N86" s="333">
        <v>94080.1</v>
      </c>
      <c r="O86" s="333">
        <v>104322.2</v>
      </c>
      <c r="P86" s="333">
        <f>105189.1+3402.2</f>
        <v>108591.3</v>
      </c>
      <c r="Q86" s="333">
        <v>109305</v>
      </c>
      <c r="R86" s="333">
        <f t="shared" si="6"/>
        <v>109305</v>
      </c>
      <c r="S86" s="333">
        <f t="shared" si="7"/>
        <v>999592.1</v>
      </c>
      <c r="T86" s="33"/>
    </row>
    <row r="87" spans="1:20" ht="35.1" customHeight="1" x14ac:dyDescent="0.25">
      <c r="A87" s="369"/>
      <c r="B87" s="370"/>
      <c r="C87" s="330"/>
      <c r="D87" s="331">
        <v>975</v>
      </c>
      <c r="E87" s="338" t="s">
        <v>463</v>
      </c>
      <c r="F87" s="338" t="s">
        <v>461</v>
      </c>
      <c r="G87" s="343">
        <v>611</v>
      </c>
      <c r="H87" s="333"/>
      <c r="I87" s="333"/>
      <c r="J87" s="333"/>
      <c r="K87" s="333"/>
      <c r="L87" s="333"/>
      <c r="M87" s="333">
        <v>10565.4</v>
      </c>
      <c r="N87" s="333">
        <v>11184.2</v>
      </c>
      <c r="O87" s="333">
        <v>14948</v>
      </c>
      <c r="P87" s="333">
        <f>12278.9+8913.1</f>
        <v>21192</v>
      </c>
      <c r="Q87" s="333">
        <v>12278.9</v>
      </c>
      <c r="R87" s="333">
        <v>12278.9</v>
      </c>
      <c r="S87" s="333">
        <f t="shared" si="7"/>
        <v>82447.399999999994</v>
      </c>
      <c r="T87" s="33"/>
    </row>
    <row r="88" spans="1:20" ht="35.1" customHeight="1" x14ac:dyDescent="0.25">
      <c r="A88" s="369"/>
      <c r="B88" s="370"/>
      <c r="C88" s="330"/>
      <c r="D88" s="331">
        <v>975</v>
      </c>
      <c r="E88" s="338" t="s">
        <v>379</v>
      </c>
      <c r="F88" s="338" t="s">
        <v>461</v>
      </c>
      <c r="G88" s="343">
        <v>612</v>
      </c>
      <c r="H88" s="333">
        <v>1060.3</v>
      </c>
      <c r="I88" s="333">
        <v>685.7</v>
      </c>
      <c r="J88" s="333">
        <v>3330.5</v>
      </c>
      <c r="K88" s="333">
        <v>4576</v>
      </c>
      <c r="L88" s="333">
        <v>4798.1000000000004</v>
      </c>
      <c r="M88" s="333">
        <v>4598.3999999999996</v>
      </c>
      <c r="N88" s="333">
        <v>0</v>
      </c>
      <c r="O88" s="333">
        <v>0</v>
      </c>
      <c r="P88" s="333">
        <v>0</v>
      </c>
      <c r="Q88" s="333">
        <f t="shared" si="6"/>
        <v>0</v>
      </c>
      <c r="R88" s="333">
        <f t="shared" si="6"/>
        <v>0</v>
      </c>
      <c r="S88" s="333">
        <f t="shared" si="7"/>
        <v>19049</v>
      </c>
      <c r="T88" s="33"/>
    </row>
    <row r="89" spans="1:20" ht="35.1" customHeight="1" x14ac:dyDescent="0.25">
      <c r="A89" s="369"/>
      <c r="B89" s="370"/>
      <c r="C89" s="330"/>
      <c r="D89" s="331">
        <v>975</v>
      </c>
      <c r="E89" s="338" t="s">
        <v>379</v>
      </c>
      <c r="F89" s="338" t="s">
        <v>461</v>
      </c>
      <c r="G89" s="343">
        <v>621</v>
      </c>
      <c r="H89" s="333">
        <v>28912.7</v>
      </c>
      <c r="I89" s="333">
        <v>29234.2</v>
      </c>
      <c r="J89" s="333">
        <v>29412</v>
      </c>
      <c r="K89" s="333">
        <v>31346.1</v>
      </c>
      <c r="L89" s="333">
        <v>32415.7</v>
      </c>
      <c r="M89" s="333">
        <v>31196.1</v>
      </c>
      <c r="N89" s="333">
        <v>32462.1</v>
      </c>
      <c r="O89" s="333">
        <v>34726.699999999997</v>
      </c>
      <c r="P89" s="333">
        <f>32628.3+1502.6</f>
        <v>34130.9</v>
      </c>
      <c r="Q89" s="333">
        <v>33015.699999999997</v>
      </c>
      <c r="R89" s="333">
        <f t="shared" si="6"/>
        <v>33015.699999999997</v>
      </c>
      <c r="S89" s="333">
        <f t="shared" si="7"/>
        <v>349867.90000000008</v>
      </c>
      <c r="T89" s="33"/>
    </row>
    <row r="90" spans="1:20" ht="35.1" customHeight="1" x14ac:dyDescent="0.25">
      <c r="A90" s="369"/>
      <c r="B90" s="370"/>
      <c r="C90" s="330"/>
      <c r="D90" s="331">
        <v>975</v>
      </c>
      <c r="E90" s="338" t="s">
        <v>463</v>
      </c>
      <c r="F90" s="338" t="s">
        <v>461</v>
      </c>
      <c r="G90" s="343">
        <v>621</v>
      </c>
      <c r="H90" s="333"/>
      <c r="I90" s="333"/>
      <c r="J90" s="333"/>
      <c r="K90" s="333"/>
      <c r="L90" s="333"/>
      <c r="M90" s="333">
        <v>4913.8</v>
      </c>
      <c r="N90" s="333">
        <v>4838.5</v>
      </c>
      <c r="O90" s="333">
        <v>6476.8</v>
      </c>
      <c r="P90" s="333">
        <f>6002.7+3479.3</f>
        <v>9482</v>
      </c>
      <c r="Q90" s="333">
        <v>6002.7</v>
      </c>
      <c r="R90" s="333">
        <f t="shared" si="6"/>
        <v>6002.7</v>
      </c>
      <c r="S90" s="333">
        <f t="shared" si="7"/>
        <v>37716.5</v>
      </c>
      <c r="T90" s="33"/>
    </row>
    <row r="91" spans="1:20" ht="35.1" customHeight="1" x14ac:dyDescent="0.25">
      <c r="A91" s="369"/>
      <c r="B91" s="370"/>
      <c r="C91" s="330"/>
      <c r="D91" s="331">
        <v>975</v>
      </c>
      <c r="E91" s="338" t="s">
        <v>379</v>
      </c>
      <c r="F91" s="338" t="s">
        <v>461</v>
      </c>
      <c r="G91" s="343">
        <v>622</v>
      </c>
      <c r="H91" s="333">
        <v>348.3</v>
      </c>
      <c r="I91" s="333">
        <v>360.9</v>
      </c>
      <c r="J91" s="333">
        <v>1248.9000000000001</v>
      </c>
      <c r="K91" s="333">
        <v>1661.6</v>
      </c>
      <c r="L91" s="333">
        <v>1917.9</v>
      </c>
      <c r="M91" s="333">
        <v>1604.6</v>
      </c>
      <c r="N91" s="333">
        <v>0</v>
      </c>
      <c r="O91" s="333">
        <v>0</v>
      </c>
      <c r="P91" s="333">
        <v>0</v>
      </c>
      <c r="Q91" s="333">
        <f t="shared" si="6"/>
        <v>0</v>
      </c>
      <c r="R91" s="333">
        <f t="shared" si="6"/>
        <v>0</v>
      </c>
      <c r="S91" s="333">
        <f t="shared" si="7"/>
        <v>7142.2000000000007</v>
      </c>
      <c r="T91" s="33"/>
    </row>
    <row r="92" spans="1:20" ht="35.1" customHeight="1" x14ac:dyDescent="0.25">
      <c r="A92" s="369"/>
      <c r="B92" s="370"/>
      <c r="C92" s="330"/>
      <c r="D92" s="331">
        <v>975</v>
      </c>
      <c r="E92" s="338" t="s">
        <v>379</v>
      </c>
      <c r="F92" s="338" t="s">
        <v>461</v>
      </c>
      <c r="G92" s="343">
        <v>870</v>
      </c>
      <c r="H92" s="333"/>
      <c r="I92" s="333"/>
      <c r="J92" s="333"/>
      <c r="K92" s="333">
        <v>1355.7</v>
      </c>
      <c r="L92" s="333"/>
      <c r="M92" s="333"/>
      <c r="N92" s="333"/>
      <c r="O92" s="333">
        <v>15.7</v>
      </c>
      <c r="P92" s="333">
        <v>0</v>
      </c>
      <c r="Q92" s="333">
        <v>1245.5999999999999</v>
      </c>
      <c r="R92" s="333">
        <f t="shared" si="6"/>
        <v>1245.5999999999999</v>
      </c>
      <c r="S92" s="333">
        <f t="shared" si="7"/>
        <v>3862.6</v>
      </c>
      <c r="T92" s="33"/>
    </row>
    <row r="93" spans="1:20" ht="35.1" customHeight="1" x14ac:dyDescent="0.25">
      <c r="A93" s="369"/>
      <c r="B93" s="370"/>
      <c r="C93" s="330"/>
      <c r="D93" s="331">
        <v>975</v>
      </c>
      <c r="E93" s="338" t="s">
        <v>379</v>
      </c>
      <c r="F93" s="338" t="s">
        <v>464</v>
      </c>
      <c r="G93" s="343">
        <v>110</v>
      </c>
      <c r="H93" s="333">
        <v>19.7</v>
      </c>
      <c r="I93" s="333"/>
      <c r="J93" s="333"/>
      <c r="K93" s="333"/>
      <c r="L93" s="333"/>
      <c r="M93" s="333"/>
      <c r="N93" s="333"/>
      <c r="O93" s="333"/>
      <c r="P93" s="333">
        <f>O93</f>
        <v>0</v>
      </c>
      <c r="Q93" s="333">
        <f t="shared" si="6"/>
        <v>0</v>
      </c>
      <c r="R93" s="333">
        <f t="shared" si="6"/>
        <v>0</v>
      </c>
      <c r="S93" s="333">
        <f t="shared" si="7"/>
        <v>19.7</v>
      </c>
      <c r="T93" s="33"/>
    </row>
    <row r="94" spans="1:20" ht="35.1" customHeight="1" x14ac:dyDescent="0.25">
      <c r="A94" s="369"/>
      <c r="B94" s="370"/>
      <c r="C94" s="330"/>
      <c r="D94" s="331">
        <v>975</v>
      </c>
      <c r="E94" s="338" t="s">
        <v>379</v>
      </c>
      <c r="F94" s="338" t="s">
        <v>465</v>
      </c>
      <c r="G94" s="343">
        <v>110</v>
      </c>
      <c r="H94" s="333"/>
      <c r="I94" s="333"/>
      <c r="J94" s="333">
        <v>911.7</v>
      </c>
      <c r="K94" s="333">
        <v>908.9</v>
      </c>
      <c r="L94" s="333">
        <f>724.5+218.8</f>
        <v>943.3</v>
      </c>
      <c r="M94" s="333">
        <v>456.8</v>
      </c>
      <c r="N94" s="333">
        <v>0</v>
      </c>
      <c r="O94" s="333">
        <v>0</v>
      </c>
      <c r="P94" s="333">
        <v>0</v>
      </c>
      <c r="Q94" s="333">
        <f t="shared" si="6"/>
        <v>0</v>
      </c>
      <c r="R94" s="333">
        <f t="shared" si="6"/>
        <v>0</v>
      </c>
      <c r="S94" s="333">
        <f t="shared" si="7"/>
        <v>3220.7</v>
      </c>
      <c r="T94" s="33"/>
    </row>
    <row r="95" spans="1:20" ht="35.1" customHeight="1" x14ac:dyDescent="0.25">
      <c r="A95" s="369"/>
      <c r="B95" s="370"/>
      <c r="C95" s="330"/>
      <c r="D95" s="331">
        <v>975</v>
      </c>
      <c r="E95" s="338" t="s">
        <v>379</v>
      </c>
      <c r="F95" s="338" t="s">
        <v>465</v>
      </c>
      <c r="G95" s="343">
        <v>240</v>
      </c>
      <c r="H95" s="333"/>
      <c r="I95" s="333"/>
      <c r="J95" s="333">
        <v>17.5</v>
      </c>
      <c r="K95" s="333">
        <v>20.2</v>
      </c>
      <c r="L95" s="333">
        <v>20.2</v>
      </c>
      <c r="M95" s="333">
        <v>13.9</v>
      </c>
      <c r="N95" s="333">
        <v>0</v>
      </c>
      <c r="O95" s="333">
        <v>0</v>
      </c>
      <c r="P95" s="333">
        <v>0</v>
      </c>
      <c r="Q95" s="333">
        <f t="shared" si="6"/>
        <v>0</v>
      </c>
      <c r="R95" s="333">
        <f t="shared" si="6"/>
        <v>0</v>
      </c>
      <c r="S95" s="333">
        <f t="shared" si="7"/>
        <v>71.800000000000011</v>
      </c>
      <c r="T95" s="33"/>
    </row>
    <row r="96" spans="1:20" ht="35.1" customHeight="1" x14ac:dyDescent="0.25">
      <c r="A96" s="369"/>
      <c r="B96" s="370"/>
      <c r="C96" s="330"/>
      <c r="D96" s="331">
        <v>975</v>
      </c>
      <c r="E96" s="338" t="s">
        <v>379</v>
      </c>
      <c r="F96" s="338" t="s">
        <v>465</v>
      </c>
      <c r="G96" s="343">
        <v>611</v>
      </c>
      <c r="H96" s="333"/>
      <c r="I96" s="333"/>
      <c r="J96" s="333">
        <v>19514.400000000001</v>
      </c>
      <c r="K96" s="333">
        <v>19413.400000000001</v>
      </c>
      <c r="L96" s="333">
        <v>20229.8</v>
      </c>
      <c r="M96" s="333">
        <v>22664.400000000001</v>
      </c>
      <c r="N96" s="333">
        <v>26332.400000000001</v>
      </c>
      <c r="O96" s="333">
        <v>27805.3</v>
      </c>
      <c r="P96" s="333">
        <f>28728.2+2427.3</f>
        <v>31155.5</v>
      </c>
      <c r="Q96" s="333">
        <v>27407.3</v>
      </c>
      <c r="R96" s="333">
        <v>27407.3</v>
      </c>
      <c r="S96" s="333">
        <f t="shared" si="7"/>
        <v>221929.79999999996</v>
      </c>
      <c r="T96" s="33"/>
    </row>
    <row r="97" spans="1:23" ht="35.1" customHeight="1" x14ac:dyDescent="0.25">
      <c r="A97" s="369"/>
      <c r="B97" s="370"/>
      <c r="C97" s="330"/>
      <c r="D97" s="331">
        <v>975</v>
      </c>
      <c r="E97" s="338" t="s">
        <v>379</v>
      </c>
      <c r="F97" s="338" t="s">
        <v>465</v>
      </c>
      <c r="G97" s="343">
        <v>612</v>
      </c>
      <c r="H97" s="333"/>
      <c r="I97" s="333"/>
      <c r="J97" s="333"/>
      <c r="K97" s="333">
        <v>119</v>
      </c>
      <c r="L97" s="333">
        <v>113</v>
      </c>
      <c r="M97" s="333">
        <v>118</v>
      </c>
      <c r="N97" s="333">
        <v>0</v>
      </c>
      <c r="O97" s="333">
        <v>0</v>
      </c>
      <c r="P97" s="333">
        <v>0</v>
      </c>
      <c r="Q97" s="333">
        <f t="shared" si="6"/>
        <v>0</v>
      </c>
      <c r="R97" s="333">
        <f t="shared" si="6"/>
        <v>0</v>
      </c>
      <c r="S97" s="333">
        <f t="shared" si="7"/>
        <v>350</v>
      </c>
      <c r="T97" s="33"/>
    </row>
    <row r="98" spans="1:23" ht="35.1" customHeight="1" x14ac:dyDescent="0.25">
      <c r="A98" s="369"/>
      <c r="B98" s="370"/>
      <c r="C98" s="330"/>
      <c r="D98" s="331">
        <v>975</v>
      </c>
      <c r="E98" s="338" t="s">
        <v>379</v>
      </c>
      <c r="F98" s="338" t="s">
        <v>465</v>
      </c>
      <c r="G98" s="343">
        <v>621</v>
      </c>
      <c r="H98" s="333"/>
      <c r="I98" s="333"/>
      <c r="J98" s="333">
        <v>9019.2000000000007</v>
      </c>
      <c r="K98" s="333">
        <v>9035.1</v>
      </c>
      <c r="L98" s="333">
        <v>9369.2999999999993</v>
      </c>
      <c r="M98" s="333">
        <v>7901</v>
      </c>
      <c r="N98" s="333">
        <v>8696.1</v>
      </c>
      <c r="O98" s="333">
        <v>9064.7999999999993</v>
      </c>
      <c r="P98" s="333">
        <f>9348.2+846.5</f>
        <v>10194.700000000001</v>
      </c>
      <c r="Q98" s="333">
        <v>8905.7999999999993</v>
      </c>
      <c r="R98" s="333">
        <v>8905.7999999999993</v>
      </c>
      <c r="S98" s="333">
        <f t="shared" si="7"/>
        <v>81091.8</v>
      </c>
      <c r="T98" s="33"/>
    </row>
    <row r="99" spans="1:23" ht="52.15" customHeight="1" x14ac:dyDescent="0.25">
      <c r="A99" s="369"/>
      <c r="B99" s="370"/>
      <c r="C99" s="330"/>
      <c r="D99" s="331">
        <v>975</v>
      </c>
      <c r="E99" s="338" t="s">
        <v>379</v>
      </c>
      <c r="F99" s="338" t="s">
        <v>466</v>
      </c>
      <c r="G99" s="343">
        <v>621</v>
      </c>
      <c r="H99" s="333"/>
      <c r="I99" s="333"/>
      <c r="J99" s="333"/>
      <c r="K99" s="333"/>
      <c r="L99" s="333">
        <v>162.80000000000001</v>
      </c>
      <c r="M99" s="333">
        <v>48.8</v>
      </c>
      <c r="N99" s="333">
        <v>2.8</v>
      </c>
      <c r="O99" s="333">
        <v>0</v>
      </c>
      <c r="P99" s="333">
        <f>O99</f>
        <v>0</v>
      </c>
      <c r="Q99" s="333">
        <f t="shared" si="6"/>
        <v>0</v>
      </c>
      <c r="R99" s="333">
        <f t="shared" si="6"/>
        <v>0</v>
      </c>
      <c r="S99" s="333">
        <f t="shared" si="7"/>
        <v>214.40000000000003</v>
      </c>
      <c r="T99" s="33"/>
    </row>
    <row r="100" spans="1:23" ht="60.6" customHeight="1" x14ac:dyDescent="0.25">
      <c r="A100" s="369"/>
      <c r="B100" s="370"/>
      <c r="C100" s="330"/>
      <c r="D100" s="331">
        <v>975</v>
      </c>
      <c r="E100" s="338" t="s">
        <v>379</v>
      </c>
      <c r="F100" s="338" t="s">
        <v>467</v>
      </c>
      <c r="G100" s="343">
        <v>611</v>
      </c>
      <c r="H100" s="333"/>
      <c r="I100" s="333"/>
      <c r="J100" s="333"/>
      <c r="K100" s="333"/>
      <c r="L100" s="333">
        <v>329.3</v>
      </c>
      <c r="M100" s="333">
        <v>15</v>
      </c>
      <c r="N100" s="333">
        <v>1834.2</v>
      </c>
      <c r="O100" s="333">
        <v>0</v>
      </c>
      <c r="P100" s="333">
        <f>O100</f>
        <v>0</v>
      </c>
      <c r="Q100" s="333">
        <f t="shared" si="6"/>
        <v>0</v>
      </c>
      <c r="R100" s="333">
        <f t="shared" si="6"/>
        <v>0</v>
      </c>
      <c r="S100" s="333">
        <f t="shared" si="7"/>
        <v>2178.5</v>
      </c>
      <c r="T100" s="33"/>
    </row>
    <row r="101" spans="1:23" ht="35.1" customHeight="1" x14ac:dyDescent="0.25">
      <c r="A101" s="369"/>
      <c r="B101" s="370"/>
      <c r="C101" s="330"/>
      <c r="D101" s="331">
        <v>975</v>
      </c>
      <c r="E101" s="338" t="s">
        <v>379</v>
      </c>
      <c r="F101" s="338" t="s">
        <v>468</v>
      </c>
      <c r="G101" s="343">
        <v>611</v>
      </c>
      <c r="H101" s="333"/>
      <c r="I101" s="333"/>
      <c r="J101" s="333"/>
      <c r="K101" s="333"/>
      <c r="L101" s="333"/>
      <c r="M101" s="333">
        <v>116.5</v>
      </c>
      <c r="N101" s="333"/>
      <c r="O101" s="333"/>
      <c r="P101" s="333"/>
      <c r="Q101" s="333">
        <f t="shared" si="6"/>
        <v>0</v>
      </c>
      <c r="R101" s="333">
        <f t="shared" si="6"/>
        <v>0</v>
      </c>
      <c r="S101" s="333">
        <f t="shared" si="7"/>
        <v>116.5</v>
      </c>
      <c r="T101" s="33"/>
    </row>
    <row r="102" spans="1:23" ht="35.1" customHeight="1" x14ac:dyDescent="0.25">
      <c r="A102" s="369"/>
      <c r="B102" s="370"/>
      <c r="C102" s="330"/>
      <c r="D102" s="331">
        <v>975</v>
      </c>
      <c r="E102" s="338" t="s">
        <v>379</v>
      </c>
      <c r="F102" s="338" t="s">
        <v>468</v>
      </c>
      <c r="G102" s="343">
        <v>621</v>
      </c>
      <c r="H102" s="333"/>
      <c r="I102" s="333"/>
      <c r="J102" s="333"/>
      <c r="K102" s="333"/>
      <c r="L102" s="333"/>
      <c r="M102" s="333">
        <v>3.6</v>
      </c>
      <c r="N102" s="333"/>
      <c r="O102" s="333"/>
      <c r="P102" s="333"/>
      <c r="Q102" s="333">
        <f t="shared" si="6"/>
        <v>0</v>
      </c>
      <c r="R102" s="333">
        <f t="shared" si="6"/>
        <v>0</v>
      </c>
      <c r="S102" s="333">
        <f t="shared" si="7"/>
        <v>3.6</v>
      </c>
      <c r="T102" s="33"/>
    </row>
    <row r="103" spans="1:23" ht="35.1" customHeight="1" x14ac:dyDescent="0.25">
      <c r="A103" s="369"/>
      <c r="B103" s="370"/>
      <c r="C103" s="330"/>
      <c r="D103" s="331">
        <v>975</v>
      </c>
      <c r="E103" s="338" t="s">
        <v>379</v>
      </c>
      <c r="F103" s="338" t="s">
        <v>469</v>
      </c>
      <c r="G103" s="343">
        <v>611</v>
      </c>
      <c r="H103" s="333"/>
      <c r="I103" s="333"/>
      <c r="J103" s="333"/>
      <c r="K103" s="333"/>
      <c r="L103" s="333"/>
      <c r="M103" s="333"/>
      <c r="N103" s="333">
        <v>73.400000000000006</v>
      </c>
      <c r="O103" s="333"/>
      <c r="P103" s="333"/>
      <c r="Q103" s="333">
        <f t="shared" si="6"/>
        <v>0</v>
      </c>
      <c r="R103" s="333">
        <f t="shared" si="6"/>
        <v>0</v>
      </c>
      <c r="S103" s="333">
        <f t="shared" si="7"/>
        <v>73.400000000000006</v>
      </c>
      <c r="T103" s="33"/>
    </row>
    <row r="104" spans="1:23" ht="35.1" customHeight="1" x14ac:dyDescent="0.25">
      <c r="A104" s="369"/>
      <c r="B104" s="370"/>
      <c r="C104" s="330"/>
      <c r="D104" s="331">
        <v>975</v>
      </c>
      <c r="E104" s="338" t="s">
        <v>379</v>
      </c>
      <c r="F104" s="338" t="s">
        <v>469</v>
      </c>
      <c r="G104" s="343">
        <v>621</v>
      </c>
      <c r="H104" s="333"/>
      <c r="I104" s="333"/>
      <c r="J104" s="333"/>
      <c r="K104" s="333"/>
      <c r="L104" s="333"/>
      <c r="M104" s="333"/>
      <c r="N104" s="333">
        <v>59</v>
      </c>
      <c r="O104" s="333"/>
      <c r="P104" s="333"/>
      <c r="Q104" s="333">
        <f t="shared" si="6"/>
        <v>0</v>
      </c>
      <c r="R104" s="333">
        <f t="shared" si="6"/>
        <v>0</v>
      </c>
      <c r="S104" s="333">
        <f t="shared" si="7"/>
        <v>59</v>
      </c>
      <c r="T104" s="33"/>
    </row>
    <row r="105" spans="1:23" ht="35.1" customHeight="1" x14ac:dyDescent="0.25">
      <c r="A105" s="369"/>
      <c r="B105" s="370"/>
      <c r="C105" s="330"/>
      <c r="D105" s="331">
        <v>975</v>
      </c>
      <c r="E105" s="338" t="s">
        <v>379</v>
      </c>
      <c r="F105" s="338" t="s">
        <v>470</v>
      </c>
      <c r="G105" s="343">
        <v>110</v>
      </c>
      <c r="H105" s="333"/>
      <c r="I105" s="333"/>
      <c r="J105" s="333"/>
      <c r="K105" s="333"/>
      <c r="L105" s="333">
        <v>460.4</v>
      </c>
      <c r="M105" s="333"/>
      <c r="N105" s="333"/>
      <c r="O105" s="333"/>
      <c r="P105" s="333">
        <f>O105</f>
        <v>0</v>
      </c>
      <c r="Q105" s="333">
        <f t="shared" si="6"/>
        <v>0</v>
      </c>
      <c r="R105" s="333">
        <f t="shared" si="6"/>
        <v>0</v>
      </c>
      <c r="S105" s="333">
        <f t="shared" si="7"/>
        <v>460.4</v>
      </c>
      <c r="T105" s="33"/>
    </row>
    <row r="106" spans="1:23" ht="35.1" customHeight="1" x14ac:dyDescent="0.25">
      <c r="A106" s="369"/>
      <c r="B106" s="370"/>
      <c r="C106" s="330"/>
      <c r="D106" s="331">
        <v>975</v>
      </c>
      <c r="E106" s="338" t="s">
        <v>379</v>
      </c>
      <c r="F106" s="338" t="s">
        <v>465</v>
      </c>
      <c r="G106" s="343">
        <v>870</v>
      </c>
      <c r="H106" s="333"/>
      <c r="I106" s="333"/>
      <c r="J106" s="333"/>
      <c r="K106" s="333"/>
      <c r="L106" s="333"/>
      <c r="M106" s="333"/>
      <c r="N106" s="333"/>
      <c r="O106" s="333"/>
      <c r="P106" s="333">
        <f>1147.9-1147.9</f>
        <v>0</v>
      </c>
      <c r="Q106" s="333">
        <v>1147.9000000000001</v>
      </c>
      <c r="R106" s="333">
        <f t="shared" si="6"/>
        <v>1147.9000000000001</v>
      </c>
      <c r="S106" s="333">
        <f t="shared" si="7"/>
        <v>2295.8000000000002</v>
      </c>
      <c r="T106" s="33"/>
    </row>
    <row r="107" spans="1:23" ht="35.1" customHeight="1" x14ac:dyDescent="0.25">
      <c r="A107" s="369"/>
      <c r="B107" s="370"/>
      <c r="C107" s="330"/>
      <c r="D107" s="331">
        <v>975</v>
      </c>
      <c r="E107" s="338" t="s">
        <v>379</v>
      </c>
      <c r="F107" s="338" t="s">
        <v>464</v>
      </c>
      <c r="G107" s="343">
        <v>611</v>
      </c>
      <c r="H107" s="333">
        <v>77</v>
      </c>
      <c r="I107" s="333"/>
      <c r="J107" s="333"/>
      <c r="K107" s="333"/>
      <c r="L107" s="333"/>
      <c r="M107" s="333"/>
      <c r="N107" s="333"/>
      <c r="O107" s="333"/>
      <c r="P107" s="333">
        <f>O107</f>
        <v>0</v>
      </c>
      <c r="Q107" s="333">
        <f t="shared" si="6"/>
        <v>0</v>
      </c>
      <c r="R107" s="333">
        <f t="shared" si="6"/>
        <v>0</v>
      </c>
      <c r="S107" s="333">
        <f t="shared" si="7"/>
        <v>77</v>
      </c>
      <c r="T107" s="33"/>
    </row>
    <row r="108" spans="1:23" ht="69.75" customHeight="1" x14ac:dyDescent="0.25">
      <c r="A108" s="373" t="s">
        <v>150</v>
      </c>
      <c r="B108" s="347" t="s">
        <v>471</v>
      </c>
      <c r="C108" s="331" t="s">
        <v>17</v>
      </c>
      <c r="D108" s="338" t="s">
        <v>18</v>
      </c>
      <c r="E108" s="338" t="s">
        <v>379</v>
      </c>
      <c r="F108" s="331" t="s">
        <v>15</v>
      </c>
      <c r="G108" s="331" t="s">
        <v>15</v>
      </c>
      <c r="H108" s="367">
        <v>777.6</v>
      </c>
      <c r="I108" s="367">
        <v>532.1</v>
      </c>
      <c r="J108" s="367">
        <v>1013.8</v>
      </c>
      <c r="K108" s="367">
        <v>1013.8</v>
      </c>
      <c r="L108" s="367">
        <f>201+878</f>
        <v>1079</v>
      </c>
      <c r="M108" s="367">
        <f>772.8+3490.5</f>
        <v>4263.3</v>
      </c>
      <c r="N108" s="367">
        <f>802.1+5384</f>
        <v>6186.1</v>
      </c>
      <c r="O108" s="367">
        <v>982.8</v>
      </c>
      <c r="P108" s="367">
        <v>1219.7</v>
      </c>
      <c r="Q108" s="333">
        <v>651</v>
      </c>
      <c r="R108" s="333">
        <f t="shared" si="6"/>
        <v>651</v>
      </c>
      <c r="S108" s="333">
        <f t="shared" si="7"/>
        <v>18370.2</v>
      </c>
      <c r="T108" s="33"/>
      <c r="V108" s="374">
        <f>O115+O57</f>
        <v>311691.39999999997</v>
      </c>
      <c r="W108" s="375">
        <f>V108/3290</f>
        <v>94.739027355623094</v>
      </c>
    </row>
    <row r="109" spans="1:23" ht="75" hidden="1" customHeight="1" x14ac:dyDescent="0.25">
      <c r="A109" s="376" t="s">
        <v>148</v>
      </c>
      <c r="B109" s="377" t="s">
        <v>472</v>
      </c>
      <c r="C109" s="377" t="s">
        <v>17</v>
      </c>
      <c r="D109" s="378" t="s">
        <v>18</v>
      </c>
      <c r="E109" s="378" t="s">
        <v>379</v>
      </c>
      <c r="F109" s="378" t="s">
        <v>15</v>
      </c>
      <c r="G109" s="377" t="s">
        <v>15</v>
      </c>
      <c r="H109" s="379">
        <v>0</v>
      </c>
      <c r="I109" s="379">
        <v>0</v>
      </c>
      <c r="J109" s="379">
        <v>0</v>
      </c>
      <c r="K109" s="379"/>
      <c r="L109" s="379"/>
      <c r="M109" s="379"/>
      <c r="N109" s="379"/>
      <c r="O109" s="379"/>
      <c r="P109" s="333">
        <f t="shared" ref="P109:P114" si="9">O109</f>
        <v>0</v>
      </c>
      <c r="Q109" s="333">
        <f t="shared" si="6"/>
        <v>0</v>
      </c>
      <c r="R109" s="333">
        <f t="shared" si="6"/>
        <v>0</v>
      </c>
      <c r="S109" s="333">
        <f t="shared" si="7"/>
        <v>0</v>
      </c>
      <c r="T109" s="30" t="s">
        <v>473</v>
      </c>
      <c r="U109" s="53">
        <v>2</v>
      </c>
    </row>
    <row r="110" spans="1:23" ht="134.25" hidden="1" customHeight="1" x14ac:dyDescent="0.25">
      <c r="A110" s="376" t="s">
        <v>150</v>
      </c>
      <c r="B110" s="347" t="s">
        <v>474</v>
      </c>
      <c r="C110" s="331" t="s">
        <v>17</v>
      </c>
      <c r="D110" s="376" t="s">
        <v>18</v>
      </c>
      <c r="E110" s="376" t="s">
        <v>475</v>
      </c>
      <c r="F110" s="376" t="s">
        <v>15</v>
      </c>
      <c r="G110" s="331" t="s">
        <v>15</v>
      </c>
      <c r="H110" s="367">
        <v>0</v>
      </c>
      <c r="I110" s="367">
        <v>0</v>
      </c>
      <c r="J110" s="367">
        <v>0</v>
      </c>
      <c r="K110" s="367"/>
      <c r="L110" s="367"/>
      <c r="M110" s="367"/>
      <c r="N110" s="367"/>
      <c r="O110" s="367"/>
      <c r="P110" s="333">
        <f t="shared" si="9"/>
        <v>0</v>
      </c>
      <c r="Q110" s="333">
        <f t="shared" si="6"/>
        <v>0</v>
      </c>
      <c r="R110" s="333">
        <f t="shared" si="6"/>
        <v>0</v>
      </c>
      <c r="S110" s="333">
        <f t="shared" si="7"/>
        <v>0</v>
      </c>
      <c r="T110" s="30" t="s">
        <v>476</v>
      </c>
    </row>
    <row r="111" spans="1:23" ht="72.75" hidden="1" customHeight="1" x14ac:dyDescent="0.25">
      <c r="A111" s="376" t="s">
        <v>152</v>
      </c>
      <c r="B111" s="331" t="s">
        <v>477</v>
      </c>
      <c r="C111" s="331" t="s">
        <v>17</v>
      </c>
      <c r="D111" s="376" t="s">
        <v>18</v>
      </c>
      <c r="E111" s="376" t="s">
        <v>475</v>
      </c>
      <c r="F111" s="376" t="s">
        <v>15</v>
      </c>
      <c r="G111" s="331" t="s">
        <v>15</v>
      </c>
      <c r="H111" s="367">
        <v>0</v>
      </c>
      <c r="I111" s="367">
        <v>0</v>
      </c>
      <c r="J111" s="367">
        <v>0</v>
      </c>
      <c r="K111" s="379"/>
      <c r="L111" s="379"/>
      <c r="M111" s="379"/>
      <c r="N111" s="379"/>
      <c r="O111" s="379"/>
      <c r="P111" s="333">
        <f t="shared" si="9"/>
        <v>0</v>
      </c>
      <c r="Q111" s="333">
        <f t="shared" si="6"/>
        <v>0</v>
      </c>
      <c r="R111" s="333">
        <f t="shared" si="6"/>
        <v>0</v>
      </c>
      <c r="S111" s="333">
        <f t="shared" si="7"/>
        <v>0</v>
      </c>
      <c r="T111" s="380" t="s">
        <v>478</v>
      </c>
    </row>
    <row r="112" spans="1:23" ht="78" hidden="1" customHeight="1" x14ac:dyDescent="0.25">
      <c r="A112" s="381"/>
      <c r="B112" s="331" t="s">
        <v>479</v>
      </c>
      <c r="C112" s="331" t="s">
        <v>17</v>
      </c>
      <c r="D112" s="376"/>
      <c r="E112" s="376"/>
      <c r="F112" s="376"/>
      <c r="G112" s="331" t="s">
        <v>15</v>
      </c>
      <c r="H112" s="333"/>
      <c r="I112" s="333"/>
      <c r="J112" s="367"/>
      <c r="K112" s="367"/>
      <c r="L112" s="367"/>
      <c r="M112" s="367"/>
      <c r="N112" s="367"/>
      <c r="O112" s="367"/>
      <c r="P112" s="333">
        <f t="shared" si="9"/>
        <v>0</v>
      </c>
      <c r="Q112" s="333">
        <f t="shared" si="6"/>
        <v>0</v>
      </c>
      <c r="R112" s="333">
        <f t="shared" si="6"/>
        <v>0</v>
      </c>
      <c r="S112" s="333">
        <f t="shared" si="7"/>
        <v>0</v>
      </c>
      <c r="T112" s="30" t="s">
        <v>480</v>
      </c>
      <c r="U112" s="382" t="s">
        <v>481</v>
      </c>
      <c r="V112" s="383" t="s">
        <v>482</v>
      </c>
      <c r="W112" s="384" t="s">
        <v>483</v>
      </c>
    </row>
    <row r="113" spans="1:23" ht="86.25" hidden="1" customHeight="1" x14ac:dyDescent="0.25">
      <c r="A113" s="381" t="s">
        <v>154</v>
      </c>
      <c r="B113" s="331" t="s">
        <v>484</v>
      </c>
      <c r="C113" s="331" t="s">
        <v>485</v>
      </c>
      <c r="D113" s="376" t="s">
        <v>18</v>
      </c>
      <c r="E113" s="376" t="s">
        <v>379</v>
      </c>
      <c r="F113" s="376" t="s">
        <v>486</v>
      </c>
      <c r="G113" s="331">
        <v>244</v>
      </c>
      <c r="H113" s="333"/>
      <c r="I113" s="333"/>
      <c r="J113" s="367"/>
      <c r="K113" s="367"/>
      <c r="L113" s="367"/>
      <c r="M113" s="367"/>
      <c r="N113" s="367"/>
      <c r="O113" s="367"/>
      <c r="P113" s="333">
        <f t="shared" si="9"/>
        <v>0</v>
      </c>
      <c r="Q113" s="333">
        <f t="shared" si="6"/>
        <v>0</v>
      </c>
      <c r="R113" s="333">
        <f t="shared" si="6"/>
        <v>0</v>
      </c>
      <c r="S113" s="333">
        <f t="shared" si="7"/>
        <v>0</v>
      </c>
      <c r="T113" s="30" t="s">
        <v>487</v>
      </c>
      <c r="U113" s="385"/>
      <c r="V113" s="383"/>
      <c r="W113" s="384"/>
    </row>
    <row r="114" spans="1:23" ht="70.5" hidden="1" customHeight="1" x14ac:dyDescent="0.25">
      <c r="A114" s="381" t="s">
        <v>156</v>
      </c>
      <c r="B114" s="331" t="s">
        <v>488</v>
      </c>
      <c r="C114" s="331" t="s">
        <v>485</v>
      </c>
      <c r="D114" s="376" t="s">
        <v>18</v>
      </c>
      <c r="E114" s="376" t="s">
        <v>379</v>
      </c>
      <c r="F114" s="376" t="s">
        <v>15</v>
      </c>
      <c r="G114" s="331" t="s">
        <v>15</v>
      </c>
      <c r="H114" s="333">
        <v>0</v>
      </c>
      <c r="I114" s="333">
        <v>0</v>
      </c>
      <c r="J114" s="333">
        <v>0</v>
      </c>
      <c r="K114" s="333"/>
      <c r="L114" s="333"/>
      <c r="M114" s="333"/>
      <c r="N114" s="333"/>
      <c r="O114" s="333"/>
      <c r="P114" s="333">
        <f t="shared" si="9"/>
        <v>0</v>
      </c>
      <c r="Q114" s="333">
        <f t="shared" si="6"/>
        <v>0</v>
      </c>
      <c r="R114" s="333">
        <f t="shared" si="6"/>
        <v>0</v>
      </c>
      <c r="S114" s="333">
        <f t="shared" si="7"/>
        <v>0</v>
      </c>
      <c r="T114" s="30" t="s">
        <v>489</v>
      </c>
      <c r="U114" s="385"/>
      <c r="V114" s="383"/>
      <c r="W114" s="384"/>
    </row>
    <row r="115" spans="1:23" ht="21" customHeight="1" x14ac:dyDescent="0.25">
      <c r="A115" s="386" t="s">
        <v>490</v>
      </c>
      <c r="B115" s="386"/>
      <c r="C115" s="387"/>
      <c r="D115" s="387"/>
      <c r="E115" s="387"/>
      <c r="F115" s="387"/>
      <c r="G115" s="387"/>
      <c r="H115" s="367">
        <f t="shared" ref="H115:Q115" si="10">SUM(H59:H114)</f>
        <v>179920.50000000003</v>
      </c>
      <c r="I115" s="367">
        <f t="shared" si="10"/>
        <v>191066.30000000002</v>
      </c>
      <c r="J115" s="367">
        <f t="shared" si="10"/>
        <v>202246.1</v>
      </c>
      <c r="K115" s="367">
        <f t="shared" si="10"/>
        <v>210858.7</v>
      </c>
      <c r="L115" s="367">
        <f t="shared" si="10"/>
        <v>222793.49999999997</v>
      </c>
      <c r="M115" s="367">
        <f t="shared" si="10"/>
        <v>233577.89999999994</v>
      </c>
      <c r="N115" s="367">
        <f t="shared" si="10"/>
        <v>236370.90000000002</v>
      </c>
      <c r="O115" s="367">
        <f t="shared" si="10"/>
        <v>267438.8</v>
      </c>
      <c r="P115" s="367">
        <f t="shared" si="10"/>
        <v>289491.40000000002</v>
      </c>
      <c r="Q115" s="367">
        <f t="shared" si="10"/>
        <v>271846.00000000006</v>
      </c>
      <c r="R115" s="333">
        <f t="shared" ref="R115:R170" si="11">Q115</f>
        <v>271846.00000000006</v>
      </c>
      <c r="S115" s="333">
        <f t="shared" si="7"/>
        <v>2577456.1</v>
      </c>
      <c r="T115" s="388"/>
    </row>
    <row r="116" spans="1:23" ht="27.75" customHeight="1" x14ac:dyDescent="0.25">
      <c r="A116" s="389" t="s">
        <v>491</v>
      </c>
      <c r="B116" s="389"/>
      <c r="C116" s="389"/>
      <c r="D116" s="389"/>
      <c r="E116" s="389"/>
      <c r="F116" s="389"/>
      <c r="G116" s="389"/>
      <c r="H116" s="390"/>
      <c r="I116" s="390"/>
      <c r="J116" s="390"/>
      <c r="K116" s="390"/>
      <c r="L116" s="390"/>
      <c r="M116" s="390"/>
      <c r="N116" s="390"/>
      <c r="O116" s="390"/>
      <c r="P116" s="390"/>
      <c r="Q116" s="390"/>
      <c r="R116" s="390"/>
      <c r="S116" s="390"/>
      <c r="T116" s="391"/>
      <c r="V116" s="374">
        <f>P57+P115</f>
        <v>340639.2</v>
      </c>
      <c r="W116" s="375">
        <f>V116/3290</f>
        <v>103.53775075987842</v>
      </c>
    </row>
    <row r="117" spans="1:23" ht="35.1" customHeight="1" x14ac:dyDescent="0.25">
      <c r="A117" s="392" t="s">
        <v>492</v>
      </c>
      <c r="B117" s="337" t="s">
        <v>493</v>
      </c>
      <c r="C117" s="63" t="s">
        <v>17</v>
      </c>
      <c r="D117" s="376" t="s">
        <v>18</v>
      </c>
      <c r="E117" s="376" t="s">
        <v>463</v>
      </c>
      <c r="F117" s="393" t="s">
        <v>494</v>
      </c>
      <c r="G117" s="389">
        <v>611</v>
      </c>
      <c r="H117" s="367">
        <v>23037.9</v>
      </c>
      <c r="I117" s="367">
        <v>23911.599999999999</v>
      </c>
      <c r="J117" s="367">
        <v>22936.7</v>
      </c>
      <c r="K117" s="367">
        <v>22825.4</v>
      </c>
      <c r="L117" s="367">
        <v>23271.9</v>
      </c>
      <c r="M117" s="367">
        <v>24149.7</v>
      </c>
      <c r="N117" s="367">
        <v>23497.200000000001</v>
      </c>
      <c r="O117" s="367">
        <v>1517.4</v>
      </c>
      <c r="P117" s="367">
        <v>2651.9</v>
      </c>
      <c r="Q117" s="367">
        <v>1986.5</v>
      </c>
      <c r="R117" s="367">
        <v>1986.5</v>
      </c>
      <c r="S117" s="333">
        <f>SUM(H117:R117)</f>
        <v>171772.7</v>
      </c>
      <c r="T117" s="33" t="s">
        <v>495</v>
      </c>
    </row>
    <row r="118" spans="1:23" ht="35.1" customHeight="1" x14ac:dyDescent="0.25">
      <c r="A118" s="392"/>
      <c r="B118" s="340"/>
      <c r="C118" s="63"/>
      <c r="D118" s="376" t="s">
        <v>18</v>
      </c>
      <c r="E118" s="376" t="s">
        <v>463</v>
      </c>
      <c r="F118" s="393" t="s">
        <v>496</v>
      </c>
      <c r="G118" s="389">
        <v>611</v>
      </c>
      <c r="H118" s="367"/>
      <c r="I118" s="367"/>
      <c r="J118" s="367"/>
      <c r="K118" s="367"/>
      <c r="L118" s="367"/>
      <c r="M118" s="367"/>
      <c r="N118" s="367"/>
      <c r="O118" s="367">
        <v>5163.3</v>
      </c>
      <c r="P118" s="367">
        <v>5779.9</v>
      </c>
      <c r="Q118" s="367">
        <v>5737.9</v>
      </c>
      <c r="R118" s="367">
        <v>5737.9</v>
      </c>
      <c r="S118" s="333">
        <f t="shared" ref="S118:S153" si="12">SUM(H118:R118)</f>
        <v>22419</v>
      </c>
      <c r="T118" s="33"/>
      <c r="V118" s="374">
        <f>Q115+Q57</f>
        <v>310533.60000000003</v>
      </c>
    </row>
    <row r="119" spans="1:23" ht="35.1" customHeight="1" x14ac:dyDescent="0.25">
      <c r="A119" s="392"/>
      <c r="B119" s="340"/>
      <c r="C119" s="63"/>
      <c r="D119" s="376" t="s">
        <v>18</v>
      </c>
      <c r="E119" s="376" t="s">
        <v>463</v>
      </c>
      <c r="F119" s="393" t="s">
        <v>497</v>
      </c>
      <c r="G119" s="389">
        <v>611</v>
      </c>
      <c r="H119" s="367"/>
      <c r="I119" s="367"/>
      <c r="J119" s="367"/>
      <c r="K119" s="367"/>
      <c r="L119" s="367"/>
      <c r="M119" s="367"/>
      <c r="N119" s="367"/>
      <c r="O119" s="367">
        <v>25885.1</v>
      </c>
      <c r="P119" s="367">
        <v>25990.9</v>
      </c>
      <c r="Q119" s="367">
        <v>21750.9</v>
      </c>
      <c r="R119" s="367">
        <f t="shared" ref="R119:R153" si="13">Q119</f>
        <v>21750.9</v>
      </c>
      <c r="S119" s="333">
        <f t="shared" si="12"/>
        <v>95377.799999999988</v>
      </c>
      <c r="T119" s="33"/>
    </row>
    <row r="120" spans="1:23" ht="35.1" customHeight="1" x14ac:dyDescent="0.25">
      <c r="A120" s="392"/>
      <c r="B120" s="340"/>
      <c r="C120" s="63"/>
      <c r="D120" s="376" t="s">
        <v>18</v>
      </c>
      <c r="E120" s="376" t="s">
        <v>463</v>
      </c>
      <c r="F120" s="393" t="s">
        <v>494</v>
      </c>
      <c r="G120" s="389">
        <v>612</v>
      </c>
      <c r="H120" s="367">
        <v>228.9</v>
      </c>
      <c r="I120" s="367">
        <v>1514.5</v>
      </c>
      <c r="J120" s="367">
        <f>13390.2-J133-J136</f>
        <v>13254.2</v>
      </c>
      <c r="K120" s="367">
        <v>6851.9</v>
      </c>
      <c r="L120" s="367">
        <v>120</v>
      </c>
      <c r="M120" s="367">
        <v>14.5</v>
      </c>
      <c r="N120" s="367">
        <v>0</v>
      </c>
      <c r="O120" s="367">
        <v>447.9</v>
      </c>
      <c r="P120" s="367">
        <v>90</v>
      </c>
      <c r="Q120" s="367">
        <v>0</v>
      </c>
      <c r="R120" s="367">
        <f t="shared" si="13"/>
        <v>0</v>
      </c>
      <c r="S120" s="333">
        <f t="shared" si="12"/>
        <v>22521.9</v>
      </c>
      <c r="T120" s="33"/>
    </row>
    <row r="121" spans="1:23" ht="35.1" customHeight="1" x14ac:dyDescent="0.25">
      <c r="A121" s="392"/>
      <c r="B121" s="340"/>
      <c r="C121" s="63"/>
      <c r="D121" s="376" t="s">
        <v>18</v>
      </c>
      <c r="E121" s="376" t="s">
        <v>463</v>
      </c>
      <c r="F121" s="393" t="s">
        <v>452</v>
      </c>
      <c r="G121" s="389">
        <v>611</v>
      </c>
      <c r="H121" s="367"/>
      <c r="I121" s="367"/>
      <c r="J121" s="367"/>
      <c r="K121" s="367">
        <v>2950.8</v>
      </c>
      <c r="L121" s="367">
        <v>3915.8</v>
      </c>
      <c r="M121" s="367">
        <v>6010.2</v>
      </c>
      <c r="N121" s="367">
        <v>5508.7</v>
      </c>
      <c r="O121" s="367">
        <v>0</v>
      </c>
      <c r="P121" s="367">
        <v>0</v>
      </c>
      <c r="Q121" s="367">
        <f t="shared" ref="Q121:Q147" si="14">P121</f>
        <v>0</v>
      </c>
      <c r="R121" s="367">
        <f t="shared" si="13"/>
        <v>0</v>
      </c>
      <c r="S121" s="333">
        <f t="shared" si="12"/>
        <v>18385.5</v>
      </c>
      <c r="T121" s="33"/>
    </row>
    <row r="122" spans="1:23" ht="35.1" customHeight="1" x14ac:dyDescent="0.25">
      <c r="A122" s="392"/>
      <c r="B122" s="340"/>
      <c r="C122" s="63"/>
      <c r="D122" s="376" t="s">
        <v>18</v>
      </c>
      <c r="E122" s="376" t="s">
        <v>463</v>
      </c>
      <c r="F122" s="393" t="s">
        <v>498</v>
      </c>
      <c r="G122" s="389">
        <v>611</v>
      </c>
      <c r="H122" s="367"/>
      <c r="I122" s="367"/>
      <c r="J122" s="367"/>
      <c r="K122" s="367">
        <v>111.3</v>
      </c>
      <c r="L122" s="367">
        <v>106.9</v>
      </c>
      <c r="M122" s="367">
        <v>105.5</v>
      </c>
      <c r="N122" s="367">
        <v>0</v>
      </c>
      <c r="O122" s="367">
        <v>0</v>
      </c>
      <c r="P122" s="367">
        <v>0</v>
      </c>
      <c r="Q122" s="367">
        <f t="shared" si="14"/>
        <v>0</v>
      </c>
      <c r="R122" s="367">
        <f t="shared" si="13"/>
        <v>0</v>
      </c>
      <c r="S122" s="333">
        <f t="shared" si="12"/>
        <v>323.7</v>
      </c>
      <c r="T122" s="33"/>
    </row>
    <row r="123" spans="1:23" ht="35.1" customHeight="1" x14ac:dyDescent="0.25">
      <c r="A123" s="392"/>
      <c r="B123" s="340"/>
      <c r="C123" s="63"/>
      <c r="D123" s="376" t="s">
        <v>18</v>
      </c>
      <c r="E123" s="376" t="s">
        <v>463</v>
      </c>
      <c r="F123" s="393" t="s">
        <v>499</v>
      </c>
      <c r="G123" s="389">
        <v>611</v>
      </c>
      <c r="H123" s="367">
        <v>0</v>
      </c>
      <c r="I123" s="367">
        <v>0</v>
      </c>
      <c r="J123" s="367">
        <v>0</v>
      </c>
      <c r="K123" s="367">
        <v>547.79999999999995</v>
      </c>
      <c r="L123" s="367">
        <v>0</v>
      </c>
      <c r="M123" s="367">
        <v>0</v>
      </c>
      <c r="N123" s="367">
        <v>0</v>
      </c>
      <c r="O123" s="367">
        <v>0</v>
      </c>
      <c r="P123" s="367">
        <f t="shared" ref="P123:P141" si="15">O123</f>
        <v>0</v>
      </c>
      <c r="Q123" s="367">
        <f t="shared" si="14"/>
        <v>0</v>
      </c>
      <c r="R123" s="367">
        <f t="shared" si="13"/>
        <v>0</v>
      </c>
      <c r="S123" s="333">
        <f t="shared" si="12"/>
        <v>547.79999999999995</v>
      </c>
      <c r="T123" s="33"/>
    </row>
    <row r="124" spans="1:23" ht="35.1" customHeight="1" x14ac:dyDescent="0.25">
      <c r="A124" s="392"/>
      <c r="B124" s="340"/>
      <c r="C124" s="63"/>
      <c r="D124" s="376" t="s">
        <v>18</v>
      </c>
      <c r="E124" s="376" t="s">
        <v>463</v>
      </c>
      <c r="F124" s="393" t="s">
        <v>500</v>
      </c>
      <c r="G124" s="389">
        <v>611</v>
      </c>
      <c r="H124" s="367"/>
      <c r="I124" s="367"/>
      <c r="J124" s="367"/>
      <c r="K124" s="367"/>
      <c r="L124" s="367">
        <v>1204.5</v>
      </c>
      <c r="M124" s="367">
        <v>1690.6</v>
      </c>
      <c r="N124" s="367">
        <v>1585.8</v>
      </c>
      <c r="O124" s="367">
        <v>0</v>
      </c>
      <c r="P124" s="367">
        <f t="shared" si="15"/>
        <v>0</v>
      </c>
      <c r="Q124" s="367">
        <f t="shared" si="14"/>
        <v>0</v>
      </c>
      <c r="R124" s="367">
        <f t="shared" si="13"/>
        <v>0</v>
      </c>
      <c r="S124" s="333">
        <f t="shared" si="12"/>
        <v>4480.8999999999996</v>
      </c>
      <c r="T124" s="33"/>
    </row>
    <row r="125" spans="1:23" ht="59.45" customHeight="1" x14ac:dyDescent="0.25">
      <c r="A125" s="392"/>
      <c r="B125" s="340"/>
      <c r="C125" s="63"/>
      <c r="D125" s="376" t="s">
        <v>18</v>
      </c>
      <c r="E125" s="376" t="s">
        <v>463</v>
      </c>
      <c r="F125" s="338" t="s">
        <v>467</v>
      </c>
      <c r="G125" s="389">
        <v>611</v>
      </c>
      <c r="H125" s="367"/>
      <c r="I125" s="367"/>
      <c r="J125" s="367"/>
      <c r="K125" s="367"/>
      <c r="L125" s="367">
        <v>689.2</v>
      </c>
      <c r="M125" s="367">
        <v>97.3</v>
      </c>
      <c r="N125" s="367">
        <v>589.4</v>
      </c>
      <c r="O125" s="367">
        <v>0</v>
      </c>
      <c r="P125" s="367">
        <f t="shared" si="15"/>
        <v>0</v>
      </c>
      <c r="Q125" s="367">
        <f t="shared" si="14"/>
        <v>0</v>
      </c>
      <c r="R125" s="367">
        <f t="shared" si="13"/>
        <v>0</v>
      </c>
      <c r="S125" s="333">
        <f t="shared" si="12"/>
        <v>1375.9</v>
      </c>
      <c r="T125" s="33"/>
    </row>
    <row r="126" spans="1:23" ht="59.45" customHeight="1" x14ac:dyDescent="0.25">
      <c r="A126" s="392"/>
      <c r="B126" s="340"/>
      <c r="C126" s="63"/>
      <c r="D126" s="376" t="s">
        <v>18</v>
      </c>
      <c r="E126" s="376" t="s">
        <v>463</v>
      </c>
      <c r="F126" s="338" t="s">
        <v>501</v>
      </c>
      <c r="G126" s="389">
        <v>611</v>
      </c>
      <c r="H126" s="367"/>
      <c r="I126" s="367"/>
      <c r="J126" s="367"/>
      <c r="K126" s="367"/>
      <c r="L126" s="367"/>
      <c r="M126" s="367"/>
      <c r="N126" s="367">
        <v>282.8</v>
      </c>
      <c r="O126" s="367">
        <v>0</v>
      </c>
      <c r="P126" s="367">
        <v>0</v>
      </c>
      <c r="Q126" s="367">
        <f t="shared" si="14"/>
        <v>0</v>
      </c>
      <c r="R126" s="367">
        <f t="shared" si="13"/>
        <v>0</v>
      </c>
      <c r="S126" s="333">
        <f t="shared" si="12"/>
        <v>282.8</v>
      </c>
      <c r="T126" s="33"/>
    </row>
    <row r="127" spans="1:23" ht="35.1" customHeight="1" x14ac:dyDescent="0.25">
      <c r="A127" s="392"/>
      <c r="B127" s="340"/>
      <c r="C127" s="63"/>
      <c r="D127" s="376" t="s">
        <v>18</v>
      </c>
      <c r="E127" s="376" t="s">
        <v>463</v>
      </c>
      <c r="F127" s="393" t="s">
        <v>502</v>
      </c>
      <c r="G127" s="389">
        <v>612</v>
      </c>
      <c r="H127" s="367"/>
      <c r="I127" s="367"/>
      <c r="J127" s="367"/>
      <c r="K127" s="367"/>
      <c r="L127" s="367">
        <v>1000</v>
      </c>
      <c r="M127" s="367"/>
      <c r="N127" s="367"/>
      <c r="O127" s="367">
        <v>0</v>
      </c>
      <c r="P127" s="367">
        <f t="shared" si="15"/>
        <v>0</v>
      </c>
      <c r="Q127" s="367">
        <f t="shared" si="14"/>
        <v>0</v>
      </c>
      <c r="R127" s="367">
        <f t="shared" si="13"/>
        <v>0</v>
      </c>
      <c r="S127" s="333">
        <f t="shared" si="12"/>
        <v>1000</v>
      </c>
      <c r="T127" s="33"/>
    </row>
    <row r="128" spans="1:23" ht="35.1" customHeight="1" x14ac:dyDescent="0.25">
      <c r="A128" s="392"/>
      <c r="B128" s="340"/>
      <c r="C128" s="63"/>
      <c r="D128" s="376" t="s">
        <v>18</v>
      </c>
      <c r="E128" s="376" t="s">
        <v>463</v>
      </c>
      <c r="F128" s="393" t="s">
        <v>503</v>
      </c>
      <c r="G128" s="389">
        <v>612</v>
      </c>
      <c r="H128" s="367"/>
      <c r="I128" s="367"/>
      <c r="J128" s="367"/>
      <c r="K128" s="367"/>
      <c r="L128" s="367">
        <v>50</v>
      </c>
      <c r="M128" s="367"/>
      <c r="N128" s="367"/>
      <c r="O128" s="367">
        <v>0</v>
      </c>
      <c r="P128" s="367">
        <f t="shared" si="15"/>
        <v>0</v>
      </c>
      <c r="Q128" s="367">
        <f t="shared" si="14"/>
        <v>0</v>
      </c>
      <c r="R128" s="367">
        <f t="shared" si="13"/>
        <v>0</v>
      </c>
      <c r="S128" s="333">
        <f t="shared" si="12"/>
        <v>50</v>
      </c>
      <c r="T128" s="33"/>
    </row>
    <row r="129" spans="1:20" ht="35.1" customHeight="1" x14ac:dyDescent="0.25">
      <c r="A129" s="392"/>
      <c r="B129" s="340"/>
      <c r="C129" s="63"/>
      <c r="D129" s="376" t="s">
        <v>18</v>
      </c>
      <c r="E129" s="376" t="s">
        <v>463</v>
      </c>
      <c r="F129" s="393" t="s">
        <v>468</v>
      </c>
      <c r="G129" s="389">
        <v>611</v>
      </c>
      <c r="H129" s="367"/>
      <c r="I129" s="367"/>
      <c r="J129" s="367"/>
      <c r="K129" s="367"/>
      <c r="L129" s="367"/>
      <c r="M129" s="367">
        <v>94.7</v>
      </c>
      <c r="N129" s="367"/>
      <c r="O129" s="367">
        <v>0</v>
      </c>
      <c r="P129" s="367">
        <f t="shared" si="15"/>
        <v>0</v>
      </c>
      <c r="Q129" s="367">
        <f t="shared" si="14"/>
        <v>0</v>
      </c>
      <c r="R129" s="367">
        <f t="shared" si="13"/>
        <v>0</v>
      </c>
      <c r="S129" s="333">
        <f t="shared" si="12"/>
        <v>94.7</v>
      </c>
      <c r="T129" s="33"/>
    </row>
    <row r="130" spans="1:20" ht="35.1" customHeight="1" x14ac:dyDescent="0.25">
      <c r="A130" s="392"/>
      <c r="B130" s="342"/>
      <c r="C130" s="63"/>
      <c r="D130" s="376" t="s">
        <v>18</v>
      </c>
      <c r="E130" s="376" t="s">
        <v>463</v>
      </c>
      <c r="F130" s="393" t="s">
        <v>504</v>
      </c>
      <c r="G130" s="389">
        <v>611</v>
      </c>
      <c r="H130" s="367"/>
      <c r="I130" s="367"/>
      <c r="J130" s="367"/>
      <c r="K130" s="367"/>
      <c r="L130" s="367"/>
      <c r="M130" s="367">
        <v>75.8</v>
      </c>
      <c r="N130" s="367"/>
      <c r="O130" s="367">
        <v>0</v>
      </c>
      <c r="P130" s="367">
        <v>0</v>
      </c>
      <c r="Q130" s="367">
        <f t="shared" si="14"/>
        <v>0</v>
      </c>
      <c r="R130" s="367">
        <f t="shared" si="13"/>
        <v>0</v>
      </c>
      <c r="S130" s="333">
        <f t="shared" si="12"/>
        <v>75.8</v>
      </c>
      <c r="T130" s="33"/>
    </row>
    <row r="131" spans="1:20" ht="35.1" customHeight="1" x14ac:dyDescent="0.25">
      <c r="A131" s="392"/>
      <c r="B131" s="394"/>
      <c r="C131" s="63"/>
      <c r="D131" s="376" t="s">
        <v>18</v>
      </c>
      <c r="E131" s="376" t="s">
        <v>463</v>
      </c>
      <c r="F131" s="393" t="s">
        <v>469</v>
      </c>
      <c r="G131" s="389">
        <v>611</v>
      </c>
      <c r="H131" s="367"/>
      <c r="I131" s="367"/>
      <c r="J131" s="367"/>
      <c r="K131" s="367"/>
      <c r="L131" s="367"/>
      <c r="M131" s="367"/>
      <c r="N131" s="367">
        <v>61.1</v>
      </c>
      <c r="O131" s="367">
        <v>0</v>
      </c>
      <c r="P131" s="367">
        <v>0</v>
      </c>
      <c r="Q131" s="367">
        <v>0</v>
      </c>
      <c r="R131" s="367">
        <f t="shared" si="13"/>
        <v>0</v>
      </c>
      <c r="S131" s="333">
        <f t="shared" si="12"/>
        <v>61.1</v>
      </c>
      <c r="T131" s="33"/>
    </row>
    <row r="132" spans="1:20" ht="51.75" customHeight="1" x14ac:dyDescent="0.25">
      <c r="A132" s="392"/>
      <c r="B132" s="347" t="s">
        <v>505</v>
      </c>
      <c r="C132" s="63"/>
      <c r="D132" s="376" t="s">
        <v>18</v>
      </c>
      <c r="E132" s="376" t="s">
        <v>463</v>
      </c>
      <c r="F132" s="376" t="s">
        <v>15</v>
      </c>
      <c r="G132" s="331" t="s">
        <v>15</v>
      </c>
      <c r="H132" s="367">
        <f>959+71.4+16.6</f>
        <v>1047</v>
      </c>
      <c r="I132" s="367">
        <v>1619.2</v>
      </c>
      <c r="J132" s="367">
        <v>1279</v>
      </c>
      <c r="K132" s="367">
        <v>1279</v>
      </c>
      <c r="L132" s="367">
        <f>2009.3+22</f>
        <v>2031.3</v>
      </c>
      <c r="M132" s="367">
        <v>1418.7</v>
      </c>
      <c r="N132" s="367">
        <v>627.1</v>
      </c>
      <c r="O132" s="367">
        <v>1711.5</v>
      </c>
      <c r="P132" s="367">
        <v>1647.3</v>
      </c>
      <c r="Q132" s="367">
        <v>1291.7</v>
      </c>
      <c r="R132" s="367">
        <f t="shared" si="13"/>
        <v>1291.7</v>
      </c>
      <c r="S132" s="333">
        <f t="shared" si="12"/>
        <v>15243.500000000002</v>
      </c>
      <c r="T132" s="33"/>
    </row>
    <row r="133" spans="1:20" ht="68.45" customHeight="1" x14ac:dyDescent="0.25">
      <c r="A133" s="395" t="s">
        <v>506</v>
      </c>
      <c r="B133" s="386" t="s">
        <v>507</v>
      </c>
      <c r="C133" s="330" t="s">
        <v>508</v>
      </c>
      <c r="D133" s="393" t="s">
        <v>18</v>
      </c>
      <c r="E133" s="393" t="s">
        <v>379</v>
      </c>
      <c r="F133" s="393" t="s">
        <v>494</v>
      </c>
      <c r="G133" s="331">
        <v>612</v>
      </c>
      <c r="H133" s="367"/>
      <c r="I133" s="367">
        <v>49.6</v>
      </c>
      <c r="J133" s="367">
        <v>63.5</v>
      </c>
      <c r="K133" s="396"/>
      <c r="L133" s="396"/>
      <c r="M133" s="396"/>
      <c r="N133" s="396"/>
      <c r="O133" s="396">
        <v>0</v>
      </c>
      <c r="P133" s="367">
        <f t="shared" si="15"/>
        <v>0</v>
      </c>
      <c r="Q133" s="367">
        <f t="shared" si="14"/>
        <v>0</v>
      </c>
      <c r="R133" s="367">
        <f t="shared" si="13"/>
        <v>0</v>
      </c>
      <c r="S133" s="333">
        <f t="shared" si="12"/>
        <v>113.1</v>
      </c>
      <c r="T133" s="386" t="s">
        <v>509</v>
      </c>
    </row>
    <row r="134" spans="1:20" ht="61.5" customHeight="1" x14ac:dyDescent="0.25">
      <c r="A134" s="395"/>
      <c r="B134" s="386"/>
      <c r="C134" s="330"/>
      <c r="D134" s="393" t="s">
        <v>18</v>
      </c>
      <c r="E134" s="393" t="s">
        <v>379</v>
      </c>
      <c r="F134" s="393" t="s">
        <v>494</v>
      </c>
      <c r="G134" s="331">
        <v>244</v>
      </c>
      <c r="H134" s="367">
        <v>59.6</v>
      </c>
      <c r="I134" s="367">
        <v>10</v>
      </c>
      <c r="J134" s="367">
        <v>10</v>
      </c>
      <c r="K134" s="396"/>
      <c r="L134" s="396"/>
      <c r="M134" s="396"/>
      <c r="N134" s="396"/>
      <c r="O134" s="396">
        <v>0</v>
      </c>
      <c r="P134" s="367">
        <f t="shared" si="15"/>
        <v>0</v>
      </c>
      <c r="Q134" s="367">
        <f t="shared" si="14"/>
        <v>0</v>
      </c>
      <c r="R134" s="367">
        <f t="shared" si="13"/>
        <v>0</v>
      </c>
      <c r="S134" s="333">
        <f t="shared" si="12"/>
        <v>79.599999999999994</v>
      </c>
      <c r="T134" s="386"/>
    </row>
    <row r="135" spans="1:20" ht="42.75" customHeight="1" x14ac:dyDescent="0.25">
      <c r="A135" s="397" t="s">
        <v>510</v>
      </c>
      <c r="B135" s="386" t="s">
        <v>511</v>
      </c>
      <c r="C135" s="330" t="s">
        <v>17</v>
      </c>
      <c r="D135" s="393" t="s">
        <v>18</v>
      </c>
      <c r="E135" s="393" t="s">
        <v>333</v>
      </c>
      <c r="F135" s="393" t="s">
        <v>512</v>
      </c>
      <c r="G135" s="331">
        <v>244</v>
      </c>
      <c r="H135" s="367">
        <v>31.4</v>
      </c>
      <c r="I135" s="367"/>
      <c r="J135" s="367"/>
      <c r="K135" s="367"/>
      <c r="L135" s="367"/>
      <c r="M135" s="367"/>
      <c r="N135" s="367"/>
      <c r="O135" s="367">
        <v>0</v>
      </c>
      <c r="P135" s="367">
        <f t="shared" si="15"/>
        <v>0</v>
      </c>
      <c r="Q135" s="367">
        <f t="shared" si="14"/>
        <v>0</v>
      </c>
      <c r="R135" s="367">
        <f t="shared" si="13"/>
        <v>0</v>
      </c>
      <c r="S135" s="333">
        <f t="shared" si="12"/>
        <v>31.4</v>
      </c>
      <c r="T135" s="386" t="s">
        <v>513</v>
      </c>
    </row>
    <row r="136" spans="1:20" ht="25.15" customHeight="1" x14ac:dyDescent="0.25">
      <c r="A136" s="397"/>
      <c r="B136" s="386"/>
      <c r="C136" s="330"/>
      <c r="D136" s="393" t="s">
        <v>18</v>
      </c>
      <c r="E136" s="393" t="s">
        <v>379</v>
      </c>
      <c r="F136" s="393" t="s">
        <v>494</v>
      </c>
      <c r="G136" s="331">
        <v>612</v>
      </c>
      <c r="H136" s="367">
        <v>16</v>
      </c>
      <c r="I136" s="367">
        <v>47.1</v>
      </c>
      <c r="J136" s="367">
        <v>72.5</v>
      </c>
      <c r="K136" s="396"/>
      <c r="L136" s="396"/>
      <c r="M136" s="396"/>
      <c r="N136" s="396"/>
      <c r="O136" s="396">
        <v>0</v>
      </c>
      <c r="P136" s="367">
        <f t="shared" si="15"/>
        <v>0</v>
      </c>
      <c r="Q136" s="367">
        <f t="shared" si="14"/>
        <v>0</v>
      </c>
      <c r="R136" s="367">
        <f t="shared" si="13"/>
        <v>0</v>
      </c>
      <c r="S136" s="333">
        <f t="shared" si="12"/>
        <v>135.6</v>
      </c>
      <c r="T136" s="386"/>
    </row>
    <row r="137" spans="1:20" ht="60.75" hidden="1" customHeight="1" x14ac:dyDescent="0.25">
      <c r="A137" s="398" t="s">
        <v>514</v>
      </c>
      <c r="B137" s="370" t="s">
        <v>515</v>
      </c>
      <c r="C137" s="331" t="s">
        <v>17</v>
      </c>
      <c r="D137" s="393">
        <v>975</v>
      </c>
      <c r="E137" s="393" t="s">
        <v>475</v>
      </c>
      <c r="F137" s="393" t="s">
        <v>15</v>
      </c>
      <c r="G137" s="376" t="s">
        <v>15</v>
      </c>
      <c r="H137" s="367">
        <v>0</v>
      </c>
      <c r="I137" s="367">
        <v>0</v>
      </c>
      <c r="J137" s="367">
        <v>0</v>
      </c>
      <c r="K137" s="367"/>
      <c r="L137" s="367"/>
      <c r="M137" s="367"/>
      <c r="N137" s="367"/>
      <c r="O137" s="367"/>
      <c r="P137" s="367">
        <f t="shared" si="15"/>
        <v>0</v>
      </c>
      <c r="Q137" s="367">
        <f t="shared" si="14"/>
        <v>0</v>
      </c>
      <c r="R137" s="367">
        <f t="shared" si="13"/>
        <v>0</v>
      </c>
      <c r="S137" s="333">
        <f t="shared" si="12"/>
        <v>0</v>
      </c>
      <c r="T137" s="399" t="s">
        <v>516</v>
      </c>
    </row>
    <row r="138" spans="1:20" ht="102.75" hidden="1" customHeight="1" x14ac:dyDescent="0.25">
      <c r="A138" s="398"/>
      <c r="B138" s="370"/>
      <c r="C138" s="331" t="s">
        <v>517</v>
      </c>
      <c r="D138" s="393">
        <v>964</v>
      </c>
      <c r="E138" s="393" t="s">
        <v>475</v>
      </c>
      <c r="F138" s="393" t="s">
        <v>15</v>
      </c>
      <c r="G138" s="400" t="s">
        <v>15</v>
      </c>
      <c r="H138" s="367">
        <v>0</v>
      </c>
      <c r="I138" s="367">
        <v>0</v>
      </c>
      <c r="J138" s="367">
        <v>0</v>
      </c>
      <c r="K138" s="367"/>
      <c r="L138" s="367"/>
      <c r="M138" s="367"/>
      <c r="N138" s="367"/>
      <c r="O138" s="367"/>
      <c r="P138" s="367">
        <f t="shared" si="15"/>
        <v>0</v>
      </c>
      <c r="Q138" s="367">
        <f t="shared" si="14"/>
        <v>0</v>
      </c>
      <c r="R138" s="367">
        <f t="shared" si="13"/>
        <v>0</v>
      </c>
      <c r="S138" s="333">
        <f t="shared" si="12"/>
        <v>0</v>
      </c>
      <c r="T138" s="399"/>
    </row>
    <row r="139" spans="1:20" ht="70.5" hidden="1" customHeight="1" x14ac:dyDescent="0.25">
      <c r="A139" s="398"/>
      <c r="B139" s="370"/>
      <c r="C139" s="331" t="s">
        <v>518</v>
      </c>
      <c r="D139" s="393">
        <v>956</v>
      </c>
      <c r="E139" s="393" t="s">
        <v>519</v>
      </c>
      <c r="F139" s="393" t="s">
        <v>15</v>
      </c>
      <c r="G139" s="400" t="s">
        <v>15</v>
      </c>
      <c r="H139" s="367">
        <v>0</v>
      </c>
      <c r="I139" s="367">
        <v>0</v>
      </c>
      <c r="J139" s="367">
        <v>0</v>
      </c>
      <c r="K139" s="367"/>
      <c r="L139" s="367"/>
      <c r="M139" s="367"/>
      <c r="N139" s="367"/>
      <c r="O139" s="367"/>
      <c r="P139" s="367">
        <f t="shared" si="15"/>
        <v>0</v>
      </c>
      <c r="Q139" s="367">
        <f t="shared" si="14"/>
        <v>0</v>
      </c>
      <c r="R139" s="367">
        <f t="shared" si="13"/>
        <v>0</v>
      </c>
      <c r="S139" s="333">
        <f t="shared" si="12"/>
        <v>0</v>
      </c>
      <c r="T139" s="399"/>
    </row>
    <row r="140" spans="1:20" ht="66" customHeight="1" x14ac:dyDescent="0.25">
      <c r="A140" s="381" t="s">
        <v>514</v>
      </c>
      <c r="B140" s="331" t="s">
        <v>520</v>
      </c>
      <c r="C140" s="331" t="s">
        <v>521</v>
      </c>
      <c r="D140" s="393" t="s">
        <v>18</v>
      </c>
      <c r="E140" s="393" t="s">
        <v>333</v>
      </c>
      <c r="F140" s="393" t="s">
        <v>512</v>
      </c>
      <c r="G140" s="376" t="s">
        <v>522</v>
      </c>
      <c r="H140" s="367">
        <v>114.4</v>
      </c>
      <c r="I140" s="367">
        <v>166.8</v>
      </c>
      <c r="J140" s="367">
        <v>0</v>
      </c>
      <c r="K140" s="396"/>
      <c r="L140" s="396"/>
      <c r="M140" s="396"/>
      <c r="N140" s="396"/>
      <c r="O140" s="396">
        <v>0</v>
      </c>
      <c r="P140" s="367">
        <f t="shared" si="15"/>
        <v>0</v>
      </c>
      <c r="Q140" s="367">
        <f t="shared" si="14"/>
        <v>0</v>
      </c>
      <c r="R140" s="367">
        <f t="shared" si="13"/>
        <v>0</v>
      </c>
      <c r="S140" s="333">
        <f t="shared" si="12"/>
        <v>281.20000000000005</v>
      </c>
      <c r="T140" s="331" t="s">
        <v>523</v>
      </c>
    </row>
    <row r="141" spans="1:20" ht="50.45" customHeight="1" x14ac:dyDescent="0.25">
      <c r="A141" s="381" t="s">
        <v>524</v>
      </c>
      <c r="B141" s="331" t="s">
        <v>525</v>
      </c>
      <c r="C141" s="331" t="s">
        <v>17</v>
      </c>
      <c r="D141" s="393" t="s">
        <v>18</v>
      </c>
      <c r="E141" s="393" t="s">
        <v>379</v>
      </c>
      <c r="F141" s="393" t="s">
        <v>526</v>
      </c>
      <c r="G141" s="343">
        <v>612</v>
      </c>
      <c r="H141" s="367">
        <v>5</v>
      </c>
      <c r="I141" s="367"/>
      <c r="J141" s="367"/>
      <c r="K141" s="367"/>
      <c r="L141" s="367"/>
      <c r="M141" s="367"/>
      <c r="N141" s="367"/>
      <c r="O141" s="367">
        <v>0</v>
      </c>
      <c r="P141" s="367">
        <f t="shared" si="15"/>
        <v>0</v>
      </c>
      <c r="Q141" s="367">
        <f t="shared" si="14"/>
        <v>0</v>
      </c>
      <c r="R141" s="367">
        <f t="shared" si="13"/>
        <v>0</v>
      </c>
      <c r="S141" s="333">
        <f t="shared" si="12"/>
        <v>5</v>
      </c>
      <c r="T141" s="401"/>
    </row>
    <row r="142" spans="1:20" ht="50.45" customHeight="1" x14ac:dyDescent="0.25">
      <c r="A142" s="402" t="s">
        <v>527</v>
      </c>
      <c r="B142" s="357" t="s">
        <v>528</v>
      </c>
      <c r="C142" s="62" t="s">
        <v>529</v>
      </c>
      <c r="D142" s="376" t="s">
        <v>18</v>
      </c>
      <c r="E142" s="376" t="s">
        <v>463</v>
      </c>
      <c r="F142" s="393" t="s">
        <v>530</v>
      </c>
      <c r="G142" s="389">
        <v>611</v>
      </c>
      <c r="H142" s="367"/>
      <c r="I142" s="367"/>
      <c r="J142" s="367"/>
      <c r="K142" s="367"/>
      <c r="L142" s="367"/>
      <c r="M142" s="367"/>
      <c r="N142" s="367">
        <v>3287.3</v>
      </c>
      <c r="O142" s="367">
        <v>7227.6</v>
      </c>
      <c r="P142" s="367">
        <v>9993.2000000000007</v>
      </c>
      <c r="Q142" s="367">
        <v>11180.4</v>
      </c>
      <c r="R142" s="367">
        <f t="shared" si="13"/>
        <v>11180.4</v>
      </c>
      <c r="S142" s="333">
        <f t="shared" si="12"/>
        <v>42868.9</v>
      </c>
      <c r="T142" s="401"/>
    </row>
    <row r="143" spans="1:20" ht="50.45" customHeight="1" x14ac:dyDescent="0.25">
      <c r="A143" s="403"/>
      <c r="B143" s="404"/>
      <c r="C143" s="64"/>
      <c r="D143" s="376" t="s">
        <v>18</v>
      </c>
      <c r="E143" s="376" t="s">
        <v>463</v>
      </c>
      <c r="F143" s="393" t="s">
        <v>530</v>
      </c>
      <c r="G143" s="389">
        <v>613</v>
      </c>
      <c r="H143" s="367"/>
      <c r="I143" s="367"/>
      <c r="J143" s="367"/>
      <c r="K143" s="367"/>
      <c r="L143" s="367"/>
      <c r="M143" s="367"/>
      <c r="N143" s="367"/>
      <c r="O143" s="367">
        <v>0</v>
      </c>
      <c r="P143" s="367">
        <v>51.5</v>
      </c>
      <c r="Q143" s="367">
        <v>65.2</v>
      </c>
      <c r="R143" s="367">
        <f t="shared" si="13"/>
        <v>65.2</v>
      </c>
      <c r="S143" s="333">
        <f t="shared" si="12"/>
        <v>181.9</v>
      </c>
      <c r="T143" s="401"/>
    </row>
    <row r="144" spans="1:20" ht="50.45" customHeight="1" x14ac:dyDescent="0.25">
      <c r="A144" s="403"/>
      <c r="B144" s="404"/>
      <c r="C144" s="64"/>
      <c r="D144" s="376" t="s">
        <v>18</v>
      </c>
      <c r="E144" s="376" t="s">
        <v>463</v>
      </c>
      <c r="F144" s="393" t="s">
        <v>530</v>
      </c>
      <c r="G144" s="389">
        <v>623</v>
      </c>
      <c r="H144" s="367"/>
      <c r="I144" s="367"/>
      <c r="J144" s="367"/>
      <c r="K144" s="367"/>
      <c r="L144" s="367"/>
      <c r="M144" s="367"/>
      <c r="N144" s="367"/>
      <c r="O144" s="367">
        <v>0</v>
      </c>
      <c r="P144" s="367">
        <v>51.5</v>
      </c>
      <c r="Q144" s="367">
        <v>65.2</v>
      </c>
      <c r="R144" s="367">
        <f t="shared" si="13"/>
        <v>65.2</v>
      </c>
      <c r="S144" s="333">
        <f t="shared" si="12"/>
        <v>181.9</v>
      </c>
      <c r="T144" s="401"/>
    </row>
    <row r="145" spans="1:20" ht="50.45" customHeight="1" x14ac:dyDescent="0.25">
      <c r="A145" s="403"/>
      <c r="B145" s="404"/>
      <c r="C145" s="64"/>
      <c r="D145" s="376" t="s">
        <v>18</v>
      </c>
      <c r="E145" s="376" t="s">
        <v>463</v>
      </c>
      <c r="F145" s="393" t="s">
        <v>530</v>
      </c>
      <c r="G145" s="389">
        <v>633</v>
      </c>
      <c r="H145" s="367"/>
      <c r="I145" s="367"/>
      <c r="J145" s="367"/>
      <c r="K145" s="367"/>
      <c r="L145" s="367"/>
      <c r="M145" s="367"/>
      <c r="N145" s="367"/>
      <c r="O145" s="367">
        <v>0</v>
      </c>
      <c r="P145" s="367">
        <v>51.5</v>
      </c>
      <c r="Q145" s="367">
        <v>65.3</v>
      </c>
      <c r="R145" s="367">
        <f t="shared" si="13"/>
        <v>65.3</v>
      </c>
      <c r="S145" s="333">
        <f t="shared" si="12"/>
        <v>182.1</v>
      </c>
      <c r="T145" s="401"/>
    </row>
    <row r="146" spans="1:20" ht="50.45" customHeight="1" x14ac:dyDescent="0.25">
      <c r="A146" s="403"/>
      <c r="B146" s="404"/>
      <c r="C146" s="224"/>
      <c r="D146" s="376" t="s">
        <v>18</v>
      </c>
      <c r="E146" s="376" t="s">
        <v>463</v>
      </c>
      <c r="F146" s="393" t="s">
        <v>530</v>
      </c>
      <c r="G146" s="389">
        <v>813</v>
      </c>
      <c r="H146" s="367"/>
      <c r="I146" s="367"/>
      <c r="J146" s="367"/>
      <c r="K146" s="367"/>
      <c r="L146" s="367"/>
      <c r="M146" s="367"/>
      <c r="N146" s="367"/>
      <c r="O146" s="367">
        <v>0</v>
      </c>
      <c r="P146" s="367">
        <v>51.5</v>
      </c>
      <c r="Q146" s="367">
        <v>65.2</v>
      </c>
      <c r="R146" s="367">
        <f t="shared" si="13"/>
        <v>65.2</v>
      </c>
      <c r="S146" s="333">
        <f t="shared" si="12"/>
        <v>181.9</v>
      </c>
      <c r="T146" s="401"/>
    </row>
    <row r="147" spans="1:20" ht="97.9" customHeight="1" x14ac:dyDescent="0.25">
      <c r="A147" s="405"/>
      <c r="B147" s="358"/>
      <c r="C147" s="141" t="s">
        <v>531</v>
      </c>
      <c r="D147" s="376" t="s">
        <v>532</v>
      </c>
      <c r="E147" s="376" t="s">
        <v>463</v>
      </c>
      <c r="F147" s="393" t="s">
        <v>533</v>
      </c>
      <c r="G147" s="389">
        <v>611</v>
      </c>
      <c r="H147" s="367"/>
      <c r="I147" s="367"/>
      <c r="J147" s="367"/>
      <c r="K147" s="367"/>
      <c r="L147" s="367"/>
      <c r="M147" s="367"/>
      <c r="N147" s="367">
        <v>360.3</v>
      </c>
      <c r="O147" s="367">
        <v>0</v>
      </c>
      <c r="P147" s="367">
        <v>0</v>
      </c>
      <c r="Q147" s="367">
        <f t="shared" si="14"/>
        <v>0</v>
      </c>
      <c r="R147" s="367">
        <f t="shared" si="13"/>
        <v>0</v>
      </c>
      <c r="S147" s="333">
        <f t="shared" si="12"/>
        <v>360.3</v>
      </c>
      <c r="T147" s="401"/>
    </row>
    <row r="148" spans="1:20" ht="35.1" customHeight="1" x14ac:dyDescent="0.3">
      <c r="A148" s="406" t="s">
        <v>534</v>
      </c>
      <c r="B148" s="406"/>
      <c r="C148" s="407"/>
      <c r="D148" s="407"/>
      <c r="E148" s="407"/>
      <c r="F148" s="407"/>
      <c r="G148" s="407"/>
      <c r="H148" s="408">
        <f t="shared" ref="H148:M148" si="16">SUM(H117:H141)</f>
        <v>24540.200000000004</v>
      </c>
      <c r="I148" s="408">
        <f t="shared" si="16"/>
        <v>27318.799999999996</v>
      </c>
      <c r="J148" s="408">
        <f t="shared" si="16"/>
        <v>37615.9</v>
      </c>
      <c r="K148" s="408">
        <f t="shared" si="16"/>
        <v>34566.200000000004</v>
      </c>
      <c r="L148" s="408">
        <f t="shared" si="16"/>
        <v>32389.600000000002</v>
      </c>
      <c r="M148" s="408">
        <f t="shared" si="16"/>
        <v>33657</v>
      </c>
      <c r="N148" s="408">
        <f>SUM(N117:N147)</f>
        <v>35799.700000000004</v>
      </c>
      <c r="O148" s="408">
        <f>SUM(O117:O147)</f>
        <v>41952.799999999996</v>
      </c>
      <c r="P148" s="408">
        <f>SUM(P117:P147)</f>
        <v>46359.199999999997</v>
      </c>
      <c r="Q148" s="408">
        <f>SUM(Q117:Q147)</f>
        <v>42208.299999999996</v>
      </c>
      <c r="R148" s="367">
        <f t="shared" si="13"/>
        <v>42208.299999999996</v>
      </c>
      <c r="S148" s="333">
        <f t="shared" si="12"/>
        <v>398616</v>
      </c>
      <c r="T148" s="409"/>
    </row>
    <row r="149" spans="1:20" s="121" customFormat="1" ht="35.1" customHeight="1" x14ac:dyDescent="0.3">
      <c r="A149" s="406" t="s">
        <v>535</v>
      </c>
      <c r="B149" s="406"/>
      <c r="C149" s="410"/>
      <c r="D149" s="410"/>
      <c r="E149" s="410"/>
      <c r="F149" s="410"/>
      <c r="G149" s="410"/>
      <c r="H149" s="408">
        <f t="shared" ref="H149:P149" si="17">H148+H115+H57</f>
        <v>214621.90000000005</v>
      </c>
      <c r="I149" s="408">
        <f t="shared" si="17"/>
        <v>231479.1</v>
      </c>
      <c r="J149" s="408">
        <f t="shared" si="17"/>
        <v>252889.60000000001</v>
      </c>
      <c r="K149" s="408">
        <f t="shared" si="17"/>
        <v>262736.60000000003</v>
      </c>
      <c r="L149" s="408">
        <f t="shared" si="17"/>
        <v>275850</v>
      </c>
      <c r="M149" s="408">
        <f t="shared" si="17"/>
        <v>294091.1999999999</v>
      </c>
      <c r="N149" s="408">
        <f t="shared" si="17"/>
        <v>299894.2</v>
      </c>
      <c r="O149" s="408">
        <f>O148+O115+O57-0.2</f>
        <v>353643.99999999994</v>
      </c>
      <c r="P149" s="408">
        <f t="shared" si="17"/>
        <v>386998.4</v>
      </c>
      <c r="Q149" s="408">
        <f>Q148+Q115+Q57</f>
        <v>352741.9</v>
      </c>
      <c r="R149" s="367">
        <f>R150+R152+R153+R151</f>
        <v>328802.2</v>
      </c>
      <c r="S149" s="333">
        <f>SUM(H149:R149)</f>
        <v>3253749.1</v>
      </c>
      <c r="T149" s="411"/>
    </row>
    <row r="150" spans="1:20" s="121" customFormat="1" ht="35.1" customHeight="1" x14ac:dyDescent="0.3">
      <c r="A150" s="406" t="s">
        <v>338</v>
      </c>
      <c r="B150" s="406"/>
      <c r="C150" s="410"/>
      <c r="D150" s="410"/>
      <c r="E150" s="410"/>
      <c r="F150" s="410"/>
      <c r="G150" s="410"/>
      <c r="H150" s="408">
        <f>H7+H11+H12+H24+H25+H34+H36+H84+H85+H86+H88+H89+H91+H93+H94+H95+H96+H98+H106+H107</f>
        <v>109406.90000000001</v>
      </c>
      <c r="I150" s="408">
        <f>I7+I11+I12+I24+I25+I34+I36+I84+I85+I86+I88+I89+I91+I93+I94+I95+I96+I98+I106+I107</f>
        <v>113565.79999999999</v>
      </c>
      <c r="J150" s="408">
        <f>J7+J11+J12+J24+J25+J32+J33+J34+J36+J84+J85+J86+J88+J89+J91+J93+J94+J95+J96+J98+J106+J107</f>
        <v>149314.1</v>
      </c>
      <c r="K150" s="408">
        <f>K7+K11+K12+K24+K25+K34+K36+K84+K85+K86+K88+K89+K91+K93+K94+K95+K96+K97+K98+K106+K107+K92</f>
        <v>163921.20000000001</v>
      </c>
      <c r="L150" s="408">
        <f>L7+L11+L12+L24+L25+L34+L36+L84+L85+L86+L88+L89+L91+L93+L94+L95+L96+L97+L98+L106+L107+L125+L124+L105+L100+L99+L127+L21</f>
        <v>178896.09999999998</v>
      </c>
      <c r="M150" s="408">
        <f>M7+M11+M12+M24+M25+M34+M36+M84+M85+M86+M88+M89+M91+M93+M94+M95+M96+M97+M98+M106+M107+M87+M90+M124+M19+M21+M130+M125+M99+M100+M101+M102+M129</f>
        <v>189252.89999999994</v>
      </c>
      <c r="N150" s="408">
        <f>N11+N12+N24+N25+N27+N28++N29+N36+N37+N43+N50+N52+N54+N56+N81+N82+N86+N87+N89+N90+N96+N98+N99+N100+N103+N104+N124++N125+N126+N131</f>
        <v>213984.9</v>
      </c>
      <c r="O150" s="408">
        <f>O7+O11+O12+O24+O25+O34+O36+O84+O85+O86+O88+O89+O91+O93+O94+O95+O96+O97+O98+O106+O107+O99+O100+O43+O44+O87+O90+O124+O125+O50+O54+O126+O83+O82+O81+O52+O28+O27+O39+O40+O29+O48+O92+O46+O26+O56+1.5</f>
        <v>246608.4</v>
      </c>
      <c r="P150" s="408">
        <v>243087</v>
      </c>
      <c r="Q150" s="408">
        <f>Q7+Q11+Q12+Q24+Q25+Q34+Q36+Q84+Q85+Q86+Q88+Q89+Q91+Q93+Q94+Q95+Q96+Q97+Q98+Q106+Q107+Q99+Q100+Q43+Q44+Q87+Q90+Q124+Q125+Q50+Q54+Q126+Q83+Q82+Q81+Q52+Q28+Q27+Q39+Q29+Q48+Q92+Q46+Q26-Q151</f>
        <v>224870.50000000003</v>
      </c>
      <c r="R150" s="408">
        <f>R7+R11+R12+R24+R25+R34+R36+R84+R85+R86+R88+R89+R91+R93+R94+R95+R96+R97+R98+R106+R107+R99+R100+R43+R44+R87+R90+R124+R125+R50+R54+R126+R83+R82+R81+R52+R28+R27+R39+R29+R48+R92+R46+R26-R151</f>
        <v>218387.8</v>
      </c>
      <c r="S150" s="333">
        <f t="shared" si="12"/>
        <v>2051295.5999999999</v>
      </c>
      <c r="T150" s="411"/>
    </row>
    <row r="151" spans="1:20" s="121" customFormat="1" ht="35.1" customHeight="1" x14ac:dyDescent="0.3">
      <c r="A151" s="406" t="s">
        <v>536</v>
      </c>
      <c r="B151" s="406"/>
      <c r="C151" s="410"/>
      <c r="D151" s="410"/>
      <c r="E151" s="410"/>
      <c r="F151" s="410"/>
      <c r="G151" s="410"/>
      <c r="H151" s="408">
        <v>0</v>
      </c>
      <c r="I151" s="408">
        <v>0</v>
      </c>
      <c r="J151" s="408">
        <v>0</v>
      </c>
      <c r="K151" s="408">
        <v>0</v>
      </c>
      <c r="L151" s="408">
        <v>0</v>
      </c>
      <c r="M151" s="408">
        <v>0</v>
      </c>
      <c r="N151" s="408">
        <v>0</v>
      </c>
      <c r="O151" s="408">
        <v>0</v>
      </c>
      <c r="P151" s="408">
        <v>28845.9</v>
      </c>
      <c r="Q151" s="408">
        <v>29526.5</v>
      </c>
      <c r="R151" s="408">
        <v>12117</v>
      </c>
      <c r="S151" s="333">
        <f>SUM(H151:R151)</f>
        <v>70489.399999999994</v>
      </c>
      <c r="T151" s="411"/>
    </row>
    <row r="152" spans="1:20" s="121" customFormat="1" ht="35.1" customHeight="1" x14ac:dyDescent="0.3">
      <c r="A152" s="406" t="s">
        <v>339</v>
      </c>
      <c r="B152" s="406"/>
      <c r="C152" s="410"/>
      <c r="D152" s="410"/>
      <c r="E152" s="410"/>
      <c r="F152" s="410"/>
      <c r="G152" s="410"/>
      <c r="H152" s="408">
        <f>H8+H9+H15+H16+H35+H37+H38+H59+H60+H61+H65+H66+H69+H70+H71+H72+H73+H74+H75+H76+H77+H78+H79+H80+H113+H117+H120+H121+H122+H123+H140+H141+H134+H135+H136+H133</f>
        <v>103390.39999999999</v>
      </c>
      <c r="I152" s="408">
        <f>I8+I9+I15+I16+I35+I37+I38+I59+I60+I61+I65+I66+I69+I70+I71+I72+I73+I74+I75+I76+I77+I78+I79+I80+I113+I117+I120+I121+I122+I123+I140+I141+I134+I135+I136+I133</f>
        <v>115762.00000000001</v>
      </c>
      <c r="J152" s="408">
        <f>J8+J9+J15+J16+J35+J37+J38+J59+J60+J61+J65+J66+J69+J70+J71+J72+J73+J74+J75+J76+J77+J78+J79+J80+J113+J117+J120+J121+J122+J123+J140+J141+J134+J135+J136+J133</f>
        <v>101282.7</v>
      </c>
      <c r="K152" s="408">
        <f>K8+K9+K15+K16+K35+K37+K38+K59+K60+K61+K65+K66+K69+K70+K71+K72+K73+K74+K75+K76+K77+K78+K79+K80+K113+K117+K120+K121+K122+K123+K140+K141+K134+K135+K136+K133+K111</f>
        <v>96522.60000000002</v>
      </c>
      <c r="L152" s="408">
        <f>L8+L9+L15+L16+L35+L37+L38+L59+L60+L61+L65+L66+L69+L70+L71+L72+L73+L74+L75+L76+L77+L78+L79+L80+L113+L117+L120+L121+L122+L123+L140+L141+L134+L135+L136+L133+L111+L22+L128+L10</f>
        <v>93843.599999999991</v>
      </c>
      <c r="M152" s="408">
        <f>M8+M9+M15+M16+M35+M37+M38+M59+M60+M61+M65+M66+M69+M70+M71+M72+M73+M74+M75+M76+M77+M78+M79+M80+M113+M117+M120+M121+M122+M123+M140+M141+M134+M135+M136+M133+M111+M20+M22+M23</f>
        <v>99156.3</v>
      </c>
      <c r="N152" s="408">
        <f>N8+N15+N16+N30+N38+N45+N51+N53+N55+N61+N66+N72+N73+N117+N121+N142+N147</f>
        <v>79096.100000000006</v>
      </c>
      <c r="O152" s="408">
        <f>O8+O9+O15+O16+O35+O37+O38+O59+O60+O61+O65+O66+O69+O70+O71+O72+O73+O74+O75+O76+O77+O78+O79+O80+O113+O117+O120+O121+O122+O123+O140+O141+O134+O135+O136+O133+O111+O45+O51+O53+O55+O41+O42+O47+O49+O62+O63+O67+O68+O118+O119+O142+O143+O144+O145+O146+O147+O30+O64-1.7</f>
        <v>104341.30000000002</v>
      </c>
      <c r="P152" s="408">
        <f>P8+P9+P14+P15+P16+P18+P35+P37+P38+P59+P60+P61+P65+P66+P69+P70+P71+P72+P73+P74+P75+P76+P77+P78+P79+P80+P113+P117+P120+P121+P122+P123+P140+P141+P134+P135+P136+P133+P111+P45+P51+P53+P55+P41+P42+P47+P49+P62+P63+P67+P68+P118+P119+P142+P143+P144+P145+P146+P147+P40+P30+P64</f>
        <v>112198.49999999999</v>
      </c>
      <c r="Q152" s="408">
        <f>Q8+Q9+Q15+Q16+Q35+Q37+Q38+Q59+Q60+Q61+Q64+Q65+Q66+Q69+Q70+Q71+Q72+Q73+Q74+Q75+Q76+Q77+Q78+Q79+Q80+Q113+Q117+Q120+Q121+Q122+Q123+Q140+Q141+Q134+Q135+Q136+Q133+Q111+Q45+Q51+Q53+Q55+Q41+Q42+Q47+Q49+Q62+Q63+Q67+Q68+Q118+Q119+Q142+Q143+Q144+Q145+Q146+Q147+Q40+Q30</f>
        <v>96402.199999999983</v>
      </c>
      <c r="R152" s="408">
        <f>R8+R9+R15+R16+R35+R37+R38+R59+R60+R61+R64+R65+R66+R69+R70+R71+R72+R73+R74+R75+R76+R77+R78+R79+R80+R113+R117+R120+R121+R122+R123+R140+R141+R134+R135+R136+R133+R111+R45+R51+R53+R55+R41+R42+R47+R49+R62+R63+R67+R68+R118+R119+R142+R143+R144+R145+R146+R147+R40+R30</f>
        <v>96354.699999999983</v>
      </c>
      <c r="S152" s="333">
        <f t="shared" si="12"/>
        <v>1098350.4000000001</v>
      </c>
      <c r="T152" s="411"/>
    </row>
    <row r="153" spans="1:20" s="121" customFormat="1" ht="25.15" customHeight="1" x14ac:dyDescent="0.3">
      <c r="A153" s="406" t="s">
        <v>340</v>
      </c>
      <c r="B153" s="406"/>
      <c r="C153" s="412"/>
      <c r="D153" s="410"/>
      <c r="E153" s="410"/>
      <c r="F153" s="410"/>
      <c r="G153" s="410"/>
      <c r="H153" s="408">
        <f t="shared" ref="H153:Q153" si="18">H108+H132</f>
        <v>1824.6</v>
      </c>
      <c r="I153" s="408">
        <f t="shared" si="18"/>
        <v>2151.3000000000002</v>
      </c>
      <c r="J153" s="408">
        <f t="shared" si="18"/>
        <v>2292.8000000000002</v>
      </c>
      <c r="K153" s="408">
        <f t="shared" si="18"/>
        <v>2292.8000000000002</v>
      </c>
      <c r="L153" s="408">
        <f t="shared" si="18"/>
        <v>3110.3</v>
      </c>
      <c r="M153" s="408">
        <f t="shared" si="18"/>
        <v>5682</v>
      </c>
      <c r="N153" s="408">
        <f t="shared" si="18"/>
        <v>6813.2000000000007</v>
      </c>
      <c r="O153" s="408">
        <f t="shared" si="18"/>
        <v>2694.3</v>
      </c>
      <c r="P153" s="408">
        <f t="shared" si="18"/>
        <v>2867</v>
      </c>
      <c r="Q153" s="408">
        <f t="shared" si="18"/>
        <v>1942.7</v>
      </c>
      <c r="R153" s="367">
        <f t="shared" si="13"/>
        <v>1942.7</v>
      </c>
      <c r="S153" s="333">
        <f t="shared" si="12"/>
        <v>33613.699999999997</v>
      </c>
      <c r="T153" s="411"/>
    </row>
    <row r="154" spans="1:20" ht="26.45" customHeight="1" x14ac:dyDescent="0.3">
      <c r="A154" s="413" t="s">
        <v>537</v>
      </c>
      <c r="B154" s="414"/>
      <c r="C154" s="414"/>
      <c r="D154" s="415"/>
      <c r="E154" s="415"/>
      <c r="F154" s="415"/>
      <c r="G154" s="415"/>
      <c r="H154" s="416"/>
      <c r="I154" s="416"/>
      <c r="J154" s="416"/>
      <c r="K154" s="416"/>
      <c r="L154" s="416"/>
      <c r="M154" s="416"/>
      <c r="N154" s="416"/>
      <c r="O154" s="417"/>
      <c r="P154" s="416"/>
      <c r="Q154" s="416"/>
      <c r="R154" s="416"/>
      <c r="S154" s="416"/>
      <c r="T154" s="418" t="s">
        <v>34</v>
      </c>
    </row>
    <row r="155" spans="1:20" ht="59.25" customHeight="1" x14ac:dyDescent="0.25">
      <c r="A155" s="419"/>
      <c r="B155" s="420"/>
      <c r="C155" s="421"/>
      <c r="D155" s="422"/>
      <c r="E155" s="421"/>
      <c r="F155" s="421"/>
      <c r="G155" s="423"/>
      <c r="H155" s="421"/>
      <c r="O155" s="424">
        <f>30649.1+206875.1-O150</f>
        <v>-9084.1999999999825</v>
      </c>
      <c r="P155" s="424">
        <v>318040.5</v>
      </c>
      <c r="Q155" s="424">
        <v>321589.59999999998</v>
      </c>
      <c r="R155" s="424"/>
    </row>
    <row r="156" spans="1:20" s="148" customFormat="1" ht="24.75" customHeight="1" x14ac:dyDescent="0.25">
      <c r="A156" s="419"/>
      <c r="B156" s="420"/>
      <c r="C156" s="421"/>
      <c r="D156" s="423"/>
      <c r="E156" s="421"/>
      <c r="F156" s="421"/>
      <c r="G156" s="421"/>
      <c r="H156" s="421"/>
      <c r="I156" s="80"/>
      <c r="J156" s="80"/>
      <c r="K156" s="80"/>
      <c r="L156" s="80"/>
      <c r="M156" s="80"/>
      <c r="N156" s="424"/>
      <c r="O156" s="424">
        <f>102709.8-O152</f>
        <v>-1631.5000000000146</v>
      </c>
      <c r="P156" s="424">
        <f>P155-P150-P152</f>
        <v>-37244.999999999985</v>
      </c>
      <c r="Q156" s="424">
        <f>Q155-Q150-Q152</f>
        <v>316.89999999996508</v>
      </c>
      <c r="R156" s="424"/>
      <c r="S156" s="80"/>
      <c r="T156" s="53"/>
    </row>
    <row r="157" spans="1:20" ht="20.25" customHeight="1" x14ac:dyDescent="0.25">
      <c r="A157" s="419"/>
      <c r="B157" s="420"/>
      <c r="C157" s="421"/>
      <c r="D157" s="421"/>
      <c r="E157" s="421"/>
      <c r="F157" s="421"/>
      <c r="G157" s="421"/>
      <c r="H157" s="421"/>
    </row>
    <row r="158" spans="1:20" s="295" customFormat="1" x14ac:dyDescent="0.25">
      <c r="A158" s="419"/>
      <c r="B158" s="420"/>
      <c r="C158" s="421"/>
      <c r="D158" s="421"/>
      <c r="E158" s="421"/>
      <c r="F158" s="421"/>
      <c r="G158" s="421"/>
      <c r="H158" s="421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53"/>
    </row>
    <row r="159" spans="1:20" s="206" customFormat="1" x14ac:dyDescent="0.25">
      <c r="A159" s="419"/>
      <c r="B159" s="420"/>
      <c r="C159" s="421"/>
      <c r="D159" s="421"/>
      <c r="E159" s="421"/>
      <c r="F159" s="421"/>
      <c r="G159" s="421"/>
      <c r="H159" s="421"/>
      <c r="I159" s="80"/>
      <c r="J159" s="80"/>
      <c r="K159" s="80"/>
      <c r="L159" s="80"/>
      <c r="M159" s="80"/>
      <c r="N159" s="80"/>
      <c r="O159" s="80">
        <v>340234.2</v>
      </c>
      <c r="P159" s="424"/>
      <c r="Q159" s="80"/>
      <c r="R159" s="80"/>
      <c r="S159" s="80"/>
      <c r="T159" s="53"/>
    </row>
    <row r="160" spans="1:20" x14ac:dyDescent="0.25">
      <c r="A160" s="419"/>
      <c r="B160" s="420"/>
      <c r="C160" s="421"/>
      <c r="D160" s="421"/>
      <c r="E160" s="421"/>
      <c r="F160" s="421"/>
      <c r="G160" s="421"/>
      <c r="H160" s="421"/>
      <c r="O160" s="424">
        <f>O159-O150-O152</f>
        <v>-10715.5</v>
      </c>
      <c r="Q160" s="424"/>
      <c r="R160" s="424"/>
    </row>
    <row r="161" spans="1:18" x14ac:dyDescent="0.25">
      <c r="A161" s="419"/>
      <c r="B161" s="420"/>
      <c r="C161" s="421"/>
      <c r="D161" s="421"/>
      <c r="E161" s="421"/>
      <c r="F161" s="421"/>
      <c r="G161" s="421"/>
      <c r="H161" s="421"/>
    </row>
    <row r="162" spans="1:18" x14ac:dyDescent="0.25">
      <c r="A162" s="419"/>
      <c r="B162" s="420"/>
      <c r="C162" s="421"/>
      <c r="D162" s="421"/>
      <c r="E162" s="421"/>
      <c r="F162" s="421"/>
      <c r="G162" s="421"/>
      <c r="H162" s="421"/>
      <c r="P162" s="424"/>
    </row>
    <row r="163" spans="1:18" x14ac:dyDescent="0.25">
      <c r="A163" s="419"/>
      <c r="B163" s="420"/>
      <c r="C163" s="421"/>
      <c r="D163" s="421"/>
      <c r="E163" s="421"/>
      <c r="F163" s="421"/>
      <c r="G163" s="421"/>
      <c r="H163" s="421"/>
    </row>
    <row r="164" spans="1:18" x14ac:dyDescent="0.25">
      <c r="A164" s="419"/>
      <c r="B164" s="420"/>
      <c r="C164" s="421"/>
      <c r="D164" s="421"/>
      <c r="E164" s="421"/>
      <c r="F164" s="421"/>
      <c r="G164" s="421"/>
      <c r="H164" s="421"/>
      <c r="Q164" s="424"/>
      <c r="R164" s="424"/>
    </row>
    <row r="165" spans="1:18" x14ac:dyDescent="0.25">
      <c r="A165" s="419"/>
      <c r="B165" s="420"/>
      <c r="C165" s="421"/>
      <c r="D165" s="421"/>
      <c r="E165" s="421"/>
      <c r="F165" s="421"/>
      <c r="G165" s="421"/>
      <c r="H165" s="421"/>
    </row>
    <row r="166" spans="1:18" x14ac:dyDescent="0.25">
      <c r="A166" s="419"/>
      <c r="B166" s="420"/>
      <c r="C166" s="421"/>
      <c r="D166" s="421"/>
      <c r="E166" s="421"/>
      <c r="F166" s="421"/>
      <c r="G166" s="421"/>
      <c r="H166" s="421"/>
    </row>
    <row r="167" spans="1:18" x14ac:dyDescent="0.25">
      <c r="A167" s="419"/>
      <c r="B167" s="420"/>
      <c r="C167" s="421"/>
      <c r="D167" s="421"/>
      <c r="E167" s="421"/>
      <c r="F167" s="421"/>
      <c r="G167" s="421"/>
      <c r="H167" s="421"/>
    </row>
    <row r="168" spans="1:18" x14ac:dyDescent="0.25">
      <c r="A168" s="419"/>
      <c r="B168" s="420"/>
      <c r="C168" s="421"/>
      <c r="D168" s="421"/>
      <c r="E168" s="421"/>
      <c r="F168" s="421"/>
      <c r="G168" s="421"/>
      <c r="H168" s="421"/>
    </row>
    <row r="169" spans="1:18" x14ac:dyDescent="0.25">
      <c r="A169" s="419"/>
      <c r="B169" s="420"/>
      <c r="C169" s="421"/>
      <c r="D169" s="421"/>
      <c r="E169" s="421"/>
      <c r="F169" s="421"/>
      <c r="G169" s="421"/>
      <c r="H169" s="421"/>
    </row>
    <row r="170" spans="1:18" x14ac:dyDescent="0.25">
      <c r="A170" s="419"/>
      <c r="B170" s="420"/>
      <c r="C170" s="421"/>
      <c r="D170" s="421"/>
      <c r="E170" s="421"/>
      <c r="F170" s="421"/>
      <c r="G170" s="421"/>
      <c r="H170" s="421"/>
    </row>
    <row r="171" spans="1:18" x14ac:dyDescent="0.25">
      <c r="A171" s="419"/>
      <c r="B171" s="420"/>
      <c r="C171" s="421"/>
      <c r="D171" s="421"/>
      <c r="E171" s="421"/>
      <c r="F171" s="421"/>
      <c r="G171" s="421"/>
      <c r="H171" s="421"/>
    </row>
    <row r="172" spans="1:18" x14ac:dyDescent="0.25">
      <c r="A172" s="419"/>
      <c r="B172" s="420"/>
      <c r="C172" s="421"/>
      <c r="D172" s="421"/>
      <c r="E172" s="421"/>
      <c r="F172" s="421"/>
      <c r="G172" s="421"/>
      <c r="H172" s="421"/>
    </row>
    <row r="173" spans="1:18" x14ac:dyDescent="0.25">
      <c r="A173" s="419"/>
      <c r="B173" s="420"/>
      <c r="C173" s="421"/>
      <c r="D173" s="421"/>
      <c r="E173" s="421"/>
      <c r="F173" s="421"/>
      <c r="G173" s="421"/>
      <c r="H173" s="421"/>
    </row>
    <row r="174" spans="1:18" x14ac:dyDescent="0.25">
      <c r="A174" s="419"/>
      <c r="B174" s="420"/>
      <c r="C174" s="421"/>
      <c r="D174" s="421"/>
      <c r="E174" s="421"/>
      <c r="F174" s="421"/>
      <c r="G174" s="421"/>
      <c r="H174" s="421"/>
    </row>
    <row r="175" spans="1:18" x14ac:dyDescent="0.25">
      <c r="A175" s="419"/>
      <c r="B175" s="420"/>
      <c r="C175" s="421"/>
      <c r="D175" s="421"/>
      <c r="E175" s="421"/>
      <c r="F175" s="421"/>
      <c r="G175" s="421"/>
      <c r="H175" s="421"/>
    </row>
    <row r="176" spans="1:18" x14ac:dyDescent="0.25">
      <c r="A176" s="419"/>
      <c r="B176" s="420"/>
      <c r="C176" s="421"/>
      <c r="D176" s="421"/>
      <c r="E176" s="421"/>
      <c r="F176" s="421"/>
      <c r="G176" s="421"/>
      <c r="H176" s="421"/>
    </row>
    <row r="177" spans="1:8" x14ac:dyDescent="0.25">
      <c r="A177" s="419"/>
      <c r="B177" s="420"/>
      <c r="C177" s="421"/>
      <c r="D177" s="421"/>
      <c r="E177" s="421"/>
      <c r="F177" s="421"/>
      <c r="G177" s="421"/>
      <c r="H177" s="421"/>
    </row>
    <row r="178" spans="1:8" x14ac:dyDescent="0.25">
      <c r="A178" s="419"/>
      <c r="B178" s="420"/>
      <c r="C178" s="421"/>
      <c r="D178" s="421"/>
      <c r="E178" s="421"/>
      <c r="F178" s="421"/>
      <c r="G178" s="421"/>
      <c r="H178" s="421"/>
    </row>
    <row r="179" spans="1:8" x14ac:dyDescent="0.25">
      <c r="A179" s="419"/>
      <c r="B179" s="420"/>
      <c r="C179" s="421"/>
      <c r="D179" s="421"/>
      <c r="E179" s="421"/>
      <c r="F179" s="421"/>
      <c r="G179" s="421"/>
      <c r="H179" s="421"/>
    </row>
    <row r="180" spans="1:8" x14ac:dyDescent="0.25">
      <c r="A180" s="419"/>
      <c r="B180" s="420"/>
      <c r="C180" s="421"/>
      <c r="D180" s="421"/>
      <c r="E180" s="421"/>
      <c r="F180" s="421"/>
      <c r="G180" s="421"/>
      <c r="H180" s="421"/>
    </row>
    <row r="181" spans="1:8" x14ac:dyDescent="0.25">
      <c r="A181" s="419"/>
      <c r="B181" s="420"/>
      <c r="C181" s="421"/>
      <c r="D181" s="421"/>
      <c r="E181" s="421"/>
      <c r="F181" s="421"/>
      <c r="G181" s="421"/>
      <c r="H181" s="421"/>
    </row>
    <row r="182" spans="1:8" x14ac:dyDescent="0.25">
      <c r="A182" s="419"/>
      <c r="B182" s="420"/>
      <c r="C182" s="421"/>
      <c r="D182" s="421"/>
      <c r="E182" s="421"/>
      <c r="F182" s="421"/>
      <c r="G182" s="421"/>
      <c r="H182" s="421"/>
    </row>
    <row r="183" spans="1:8" x14ac:dyDescent="0.25">
      <c r="A183" s="419"/>
      <c r="B183" s="420"/>
      <c r="C183" s="421"/>
      <c r="D183" s="421"/>
      <c r="E183" s="421"/>
      <c r="F183" s="421"/>
      <c r="G183" s="421"/>
      <c r="H183" s="421"/>
    </row>
    <row r="184" spans="1:8" x14ac:dyDescent="0.25">
      <c r="A184" s="419"/>
      <c r="B184" s="420"/>
      <c r="C184" s="421"/>
      <c r="D184" s="421"/>
      <c r="E184" s="421"/>
      <c r="F184" s="421"/>
      <c r="G184" s="421"/>
      <c r="H184" s="421"/>
    </row>
    <row r="185" spans="1:8" x14ac:dyDescent="0.25">
      <c r="A185" s="419"/>
      <c r="B185" s="420"/>
      <c r="C185" s="421"/>
      <c r="D185" s="421"/>
      <c r="E185" s="421"/>
      <c r="F185" s="421"/>
      <c r="G185" s="421"/>
      <c r="H185" s="421"/>
    </row>
    <row r="186" spans="1:8" x14ac:dyDescent="0.25">
      <c r="A186" s="419"/>
      <c r="B186" s="420"/>
      <c r="C186" s="421"/>
      <c r="D186" s="421"/>
      <c r="E186" s="421"/>
      <c r="F186" s="421"/>
      <c r="G186" s="421"/>
      <c r="H186" s="421"/>
    </row>
    <row r="187" spans="1:8" x14ac:dyDescent="0.25">
      <c r="A187" s="419"/>
      <c r="B187" s="420"/>
      <c r="C187" s="421"/>
      <c r="D187" s="421"/>
      <c r="E187" s="421"/>
      <c r="F187" s="421"/>
      <c r="G187" s="421"/>
      <c r="H187" s="421"/>
    </row>
    <row r="188" spans="1:8" x14ac:dyDescent="0.25">
      <c r="A188" s="419"/>
      <c r="B188" s="420"/>
      <c r="C188" s="421"/>
      <c r="D188" s="421"/>
      <c r="E188" s="421"/>
      <c r="F188" s="421"/>
      <c r="G188" s="421"/>
      <c r="H188" s="421"/>
    </row>
    <row r="189" spans="1:8" x14ac:dyDescent="0.25">
      <c r="A189" s="419"/>
      <c r="B189" s="420"/>
      <c r="C189" s="421"/>
      <c r="D189" s="421"/>
      <c r="E189" s="421"/>
      <c r="F189" s="421"/>
      <c r="G189" s="421"/>
      <c r="H189" s="421"/>
    </row>
    <row r="190" spans="1:8" x14ac:dyDescent="0.25">
      <c r="A190" s="419"/>
      <c r="B190" s="420"/>
      <c r="C190" s="421"/>
      <c r="D190" s="421"/>
      <c r="E190" s="421"/>
      <c r="F190" s="421"/>
      <c r="G190" s="421"/>
      <c r="H190" s="421"/>
    </row>
    <row r="191" spans="1:8" x14ac:dyDescent="0.25">
      <c r="A191" s="419"/>
      <c r="B191" s="420"/>
      <c r="C191" s="421"/>
      <c r="D191" s="421"/>
      <c r="E191" s="421"/>
      <c r="F191" s="421"/>
      <c r="G191" s="421"/>
      <c r="H191" s="421"/>
    </row>
  </sheetData>
  <mergeCells count="79">
    <mergeCell ref="A154:C154"/>
    <mergeCell ref="A148:B148"/>
    <mergeCell ref="A149:B149"/>
    <mergeCell ref="A150:B150"/>
    <mergeCell ref="A151:B151"/>
    <mergeCell ref="A152:B152"/>
    <mergeCell ref="A153:B153"/>
    <mergeCell ref="A137:A139"/>
    <mergeCell ref="B137:B139"/>
    <mergeCell ref="T137:T139"/>
    <mergeCell ref="A142:A147"/>
    <mergeCell ref="B142:B147"/>
    <mergeCell ref="C142:C146"/>
    <mergeCell ref="A133:A134"/>
    <mergeCell ref="B133:B134"/>
    <mergeCell ref="C133:C134"/>
    <mergeCell ref="T133:T134"/>
    <mergeCell ref="A135:A136"/>
    <mergeCell ref="B135:B136"/>
    <mergeCell ref="C135:C136"/>
    <mergeCell ref="T135:T136"/>
    <mergeCell ref="C84:C107"/>
    <mergeCell ref="A115:B115"/>
    <mergeCell ref="A117:A132"/>
    <mergeCell ref="B117:B130"/>
    <mergeCell ref="C117:C132"/>
    <mergeCell ref="T117:T132"/>
    <mergeCell ref="A52:A53"/>
    <mergeCell ref="A57:B57"/>
    <mergeCell ref="A58:T58"/>
    <mergeCell ref="A59:A80"/>
    <mergeCell ref="B59:B80"/>
    <mergeCell ref="C59:C80"/>
    <mergeCell ref="T59:T108"/>
    <mergeCell ref="B81:B83"/>
    <mergeCell ref="A84:A107"/>
    <mergeCell ref="B84:B107"/>
    <mergeCell ref="T43:T44"/>
    <mergeCell ref="A45:A46"/>
    <mergeCell ref="B45:B49"/>
    <mergeCell ref="C45:C49"/>
    <mergeCell ref="A50:A51"/>
    <mergeCell ref="C50:C51"/>
    <mergeCell ref="A41:A42"/>
    <mergeCell ref="B41:B42"/>
    <mergeCell ref="C41:C42"/>
    <mergeCell ref="A43:A44"/>
    <mergeCell ref="B43:B44"/>
    <mergeCell ref="C43:C44"/>
    <mergeCell ref="T34:T35"/>
    <mergeCell ref="T36:T38"/>
    <mergeCell ref="A37:A38"/>
    <mergeCell ref="B37:B38"/>
    <mergeCell ref="C37:C38"/>
    <mergeCell ref="A39:A40"/>
    <mergeCell ref="B39:B40"/>
    <mergeCell ref="C39:C40"/>
    <mergeCell ref="T39:T40"/>
    <mergeCell ref="A24:A33"/>
    <mergeCell ref="B24:B25"/>
    <mergeCell ref="C24:C33"/>
    <mergeCell ref="T24:T33"/>
    <mergeCell ref="B27:B29"/>
    <mergeCell ref="B32:B33"/>
    <mergeCell ref="A5:T5"/>
    <mergeCell ref="A6:T6"/>
    <mergeCell ref="A8:A16"/>
    <mergeCell ref="B8:B23"/>
    <mergeCell ref="C8:C23"/>
    <mergeCell ref="T8:T23"/>
    <mergeCell ref="I1:J1"/>
    <mergeCell ref="O1:T1"/>
    <mergeCell ref="A2:S2"/>
    <mergeCell ref="A3:A4"/>
    <mergeCell ref="B3:B4"/>
    <mergeCell ref="C3:C4"/>
    <mergeCell ref="D3:G3"/>
    <mergeCell ref="H3:S3"/>
    <mergeCell ref="T3:T4"/>
  </mergeCells>
  <pageMargins left="0" right="0" top="0" bottom="0" header="0.31496062992125984" footer="0.31496062992125984"/>
  <pageSetup paperSize="9" scale="40" fitToHeight="8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20</vt:i4>
      </vt:variant>
    </vt:vector>
  </HeadingPairs>
  <TitlesOfParts>
    <vt:vector size="33" baseType="lpstr">
      <vt:lpstr>Прил1 к пасп МП</vt:lpstr>
      <vt:lpstr>Прил2 к пасп МП</vt:lpstr>
      <vt:lpstr>Прил1 к МП</vt:lpstr>
      <vt:lpstr>Прил2 к МП</vt:lpstr>
      <vt:lpstr>Прил3 к МП</vt:lpstr>
      <vt:lpstr>Прил1 к пасп подпр1</vt:lpstr>
      <vt:lpstr>Прил2 к пасп подпр1</vt:lpstr>
      <vt:lpstr>Прил1 к пасп подпр2</vt:lpstr>
      <vt:lpstr>Прил2 к пасп подпр2</vt:lpstr>
      <vt:lpstr>Прил1 к пасп подпр3</vt:lpstr>
      <vt:lpstr>Прил2 к пасп подпр3</vt:lpstr>
      <vt:lpstr>Прил1 к пасп подпр4</vt:lpstr>
      <vt:lpstr>Прил2 к пасп подпр4</vt:lpstr>
      <vt:lpstr>'Прил1 к пасп МП'!Заголовки_для_печати</vt:lpstr>
      <vt:lpstr>'Прил1 к пасп подпр1'!Заголовки_для_печати</vt:lpstr>
      <vt:lpstr>'Прил1 к пасп подпр2'!Заголовки_для_печати</vt:lpstr>
      <vt:lpstr>'Прил2 к МП'!Заголовки_для_печати</vt:lpstr>
      <vt:lpstr>'Прил2 к пасп МП'!Заголовки_для_печати</vt:lpstr>
      <vt:lpstr>'Прил2 к пасп подпр1'!Заголовки_для_печати</vt:lpstr>
      <vt:lpstr>'Прил2 к пасп подпр2'!Заголовки_для_печати</vt:lpstr>
      <vt:lpstr>'Прил2 к пасп подпр3'!Заголовки_для_печати</vt:lpstr>
      <vt:lpstr>'Прил2 к пасп подпр4'!Заголовки_для_печати</vt:lpstr>
      <vt:lpstr>'Прил1 к пасп МП'!Область_печати</vt:lpstr>
      <vt:lpstr>'Прил1 к пасп подпр1'!Область_печати</vt:lpstr>
      <vt:lpstr>'Прил1 к пасп подпр2'!Область_печати</vt:lpstr>
      <vt:lpstr>'Прил1 к пасп подпр3'!Область_печати</vt:lpstr>
      <vt:lpstr>'Прил1 к пасп подпр4'!Область_печати</vt:lpstr>
      <vt:lpstr>'Прил2 к МП'!Область_печати</vt:lpstr>
      <vt:lpstr>'Прил2 к пасп МП'!Область_печати</vt:lpstr>
      <vt:lpstr>'Прил2 к пасп подпр2'!Область_печати</vt:lpstr>
      <vt:lpstr>'Прил2 к пасп подпр3'!Область_печати</vt:lpstr>
      <vt:lpstr>'Прил2 к пасп подпр4'!Область_печати</vt:lpstr>
      <vt:lpstr>'Прил3 к МП'!Область_печати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direktor</dc:creator>
  <cp:lastModifiedBy>direktor</cp:lastModifiedBy>
  <dcterms:created xsi:type="dcterms:W3CDTF">2022-09-12T10:33:12Z</dcterms:created>
  <dcterms:modified xsi:type="dcterms:W3CDTF">2022-09-12T10:41:32Z</dcterms:modified>
</cp:coreProperties>
</file>