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!!_ПРОГРАММЫ и СТРАТЕГИИ\!!_МП СистОбраз г.Дивногорска_2014-2024\!!!_МЦП_2014-2021_Действующая\!!!_ИЗМЕНЕНИЯ в МП\2023-06-ХХ изм. МП ГС 19.04.2023 и 24.05.2023\МП 24.05.2023г\"/>
    </mc:Choice>
  </mc:AlternateContent>
  <bookViews>
    <workbookView xWindow="0" yWindow="0" windowWidth="28800" windowHeight="11730" firstSheet="8" activeTab="9"/>
  </bookViews>
  <sheets>
    <sheet name="прил1 к МП" sheetId="1" r:id="rId1"/>
    <sheet name="прил2 к МП" sheetId="2" r:id="rId2"/>
    <sheet name="прил3 к МП" sheetId="3" r:id="rId3"/>
    <sheet name="прил1 к пасп МП" sheetId="4" r:id="rId4"/>
    <sheet name="прил2 к пасп МП" sheetId="5" r:id="rId5"/>
    <sheet name="Показатели прил1 к пасп подпр1" sheetId="6" r:id="rId6"/>
    <sheet name="Мероприятия прил2 к пасп подпр1" sheetId="7" r:id="rId7"/>
    <sheet name="Показатели прил1 к пасп подпр2" sheetId="8" r:id="rId8"/>
    <sheet name="Мероприятия прил2 к пасп подпр2" sheetId="9" r:id="rId9"/>
    <sheet name="Показатели прил1 к пасп подпр3" sheetId="13" r:id="rId10"/>
    <sheet name="Мероприятия прил2 к пасп подпр3" sheetId="10" r:id="rId11"/>
    <sheet name="Показатели прил1 к пасп подпр4" sheetId="11" r:id="rId12"/>
    <sheet name="Мероприятия прил2 к пасп подпр4" sheetId="12" r:id="rId13"/>
  </sheets>
  <externalReferences>
    <externalReference r:id="rId14"/>
    <externalReference r:id="rId15"/>
    <externalReference r:id="rId16"/>
  </externalReferences>
  <definedNames>
    <definedName name="_xlnm._FilterDatabase" localSheetId="6" hidden="1">'Мероприятия прил2 к пасп подпр1'!$A$4:$X$73</definedName>
    <definedName name="_xlnm._FilterDatabase" localSheetId="8" hidden="1">'Мероприятия прил2 к пасп подпр2'!$A$1:$X$174</definedName>
    <definedName name="_xlnm._FilterDatabase" localSheetId="10" hidden="1">'Мероприятия прил2 к пасп подпр3'!$A$4:$V$35</definedName>
    <definedName name="Z_2166B299_1DBB_4BE8_98C9_E9EFB21DCA26_.wvu.FilterData" localSheetId="6" hidden="1">'Мероприятия прил2 к пасп подпр1'!$A$4:$X$73</definedName>
    <definedName name="Z_2166B299_1DBB_4BE8_98C9_E9EFB21DCA26_.wvu.FilterData" localSheetId="8" hidden="1">'Мероприятия прил2 к пасп подпр2'!$A$4:$X$174</definedName>
    <definedName name="Z_2166B299_1DBB_4BE8_98C9_E9EFB21DCA26_.wvu.FilterData" localSheetId="10" hidden="1">'Мероприятия прил2 к пасп подпр3'!$A$4:$V$35</definedName>
    <definedName name="Z_2715DACA_7FC2_4162_875B_92B3FB82D8B1_.wvu.FilterData" localSheetId="6" hidden="1">'Мероприятия прил2 к пасп подпр1'!$A$4:$X$73</definedName>
    <definedName name="Z_2715DACA_7FC2_4162_875B_92B3FB82D8B1_.wvu.FilterData" localSheetId="8" hidden="1">'Мероприятия прил2 к пасп подпр2'!$A$4:$X$174</definedName>
    <definedName name="Z_2715DACA_7FC2_4162_875B_92B3FB82D8B1_.wvu.FilterData" localSheetId="10" hidden="1">'Мероприятия прил2 к пасп подпр3'!$A$4:$V$35</definedName>
    <definedName name="Z_29BFB567_1C85_481C_A8AF_8210D8E0792F_.wvu.FilterData" localSheetId="6" hidden="1">'Мероприятия прил2 к пасп подпр1'!$A$4:$X$73</definedName>
    <definedName name="Z_29BFB567_1C85_481C_A8AF_8210D8E0792F_.wvu.FilterData" localSheetId="8" hidden="1">'Мероприятия прил2 к пасп подпр2'!$A$4:$X$174</definedName>
    <definedName name="Z_29BFB567_1C85_481C_A8AF_8210D8E0792F_.wvu.FilterData" localSheetId="10" hidden="1">'Мероприятия прил2 к пасп подпр3'!$A$4:$V$35</definedName>
    <definedName name="Z_4767DD30_F6FB_4FF0_A429_8866A8232500_.wvu.Cols" localSheetId="5" hidden="1">'Показатели прил1 к пасп подпр1'!$D:$D</definedName>
    <definedName name="Z_4767DD30_F6FB_4FF0_A429_8866A8232500_.wvu.Cols" localSheetId="7" hidden="1">'Показатели прил1 к пасп подпр2'!$D:$D</definedName>
    <definedName name="Z_4767DD30_F6FB_4FF0_A429_8866A8232500_.wvu.Cols" localSheetId="9" hidden="1">'Показатели прил1 к пасп подпр3'!$C:$C</definedName>
    <definedName name="Z_4767DD30_F6FB_4FF0_A429_8866A8232500_.wvu.Cols" localSheetId="3" hidden="1">'прил1 к пасп МП'!$F:$F</definedName>
    <definedName name="Z_4767DD30_F6FB_4FF0_A429_8866A8232500_.wvu.Cols" localSheetId="4" hidden="1">'прил2 к пасп МП'!$D:$E</definedName>
    <definedName name="Z_4767DD30_F6FB_4FF0_A429_8866A8232500_.wvu.FilterData" localSheetId="6" hidden="1">'Мероприятия прил2 к пасп подпр1'!$A$4:$X$73</definedName>
    <definedName name="Z_4767DD30_F6FB_4FF0_A429_8866A8232500_.wvu.FilterData" localSheetId="8" hidden="1">'Мероприятия прил2 к пасп подпр2'!$A$4:$X$174</definedName>
    <definedName name="Z_4767DD30_F6FB_4FF0_A429_8866A8232500_.wvu.FilterData" localSheetId="10" hidden="1">'Мероприятия прил2 к пасп подпр3'!$A$4:$V$35</definedName>
    <definedName name="Z_4767DD30_F6FB_4FF0_A429_8866A8232500_.wvu.PrintArea" localSheetId="6" hidden="1">'Мероприятия прил2 к пасп подпр1'!$A$1:$U$79</definedName>
    <definedName name="Z_4767DD30_F6FB_4FF0_A429_8866A8232500_.wvu.PrintArea" localSheetId="8" hidden="1">'Мероприятия прил2 к пасп подпр2'!$A$1:$U$171</definedName>
    <definedName name="Z_4767DD30_F6FB_4FF0_A429_8866A8232500_.wvu.PrintArea" localSheetId="10" hidden="1">'Мероприятия прил2 к пасп подпр3'!$A$1:$U$40</definedName>
    <definedName name="Z_4767DD30_F6FB_4FF0_A429_8866A8232500_.wvu.PrintArea" localSheetId="12" hidden="1">'Мероприятия прил2 к пасп подпр4'!$A$1:$U$67</definedName>
    <definedName name="Z_4767DD30_F6FB_4FF0_A429_8866A8232500_.wvu.PrintArea" localSheetId="5" hidden="1">'Показатели прил1 к пасп подпр1'!$A$1:$J$13</definedName>
    <definedName name="Z_4767DD30_F6FB_4FF0_A429_8866A8232500_.wvu.PrintArea" localSheetId="7" hidden="1">'Показатели прил1 к пасп подпр2'!$A$1:$J$36</definedName>
    <definedName name="Z_4767DD30_F6FB_4FF0_A429_8866A8232500_.wvu.PrintArea" localSheetId="9" hidden="1">'Показатели прил1 к пасп подпр3'!$A$1:$H$4</definedName>
    <definedName name="Z_4767DD30_F6FB_4FF0_A429_8866A8232500_.wvu.PrintArea" localSheetId="11" hidden="1">'Показатели прил1 к пасп подпр4'!$A$1:$K$33</definedName>
    <definedName name="Z_4767DD30_F6FB_4FF0_A429_8866A8232500_.wvu.PrintArea" localSheetId="3" hidden="1">'прил1 к пасп МП'!$A$1:$M$76</definedName>
    <definedName name="Z_4767DD30_F6FB_4FF0_A429_8866A8232500_.wvu.PrintArea" localSheetId="1" hidden="1">'прил2 к МП'!$A$1:$P$33</definedName>
    <definedName name="Z_4767DD30_F6FB_4FF0_A429_8866A8232500_.wvu.PrintArea" localSheetId="4" hidden="1">'прил2 к пасп МП'!$A$1:$Q$10</definedName>
    <definedName name="Z_4767DD30_F6FB_4FF0_A429_8866A8232500_.wvu.PrintTitles" localSheetId="6" hidden="1">'Мероприятия прил2 к пасп подпр1'!$3:$4</definedName>
    <definedName name="Z_4767DD30_F6FB_4FF0_A429_8866A8232500_.wvu.PrintTitles" localSheetId="8" hidden="1">'Мероприятия прил2 к пасп подпр2'!$3:$4</definedName>
    <definedName name="Z_4767DD30_F6FB_4FF0_A429_8866A8232500_.wvu.PrintTitles" localSheetId="10" hidden="1">'Мероприятия прил2 к пасп подпр3'!$3:$4</definedName>
    <definedName name="Z_4767DD30_F6FB_4FF0_A429_8866A8232500_.wvu.PrintTitles" localSheetId="12" hidden="1">'Мероприятия прил2 к пасп подпр4'!$3:$4</definedName>
    <definedName name="Z_4767DD30_F6FB_4FF0_A429_8866A8232500_.wvu.PrintTitles" localSheetId="5" hidden="1">'Показатели прил1 к пасп подпр1'!$3:$5</definedName>
    <definedName name="Z_4767DD30_F6FB_4FF0_A429_8866A8232500_.wvu.PrintTitles" localSheetId="7" hidden="1">'Показатели прил1 к пасп подпр2'!$3:$5</definedName>
    <definedName name="Z_4767DD30_F6FB_4FF0_A429_8866A8232500_.wvu.PrintTitles" localSheetId="9" hidden="1">'Показатели прил1 к пасп подпр3'!#REF!</definedName>
    <definedName name="Z_4767DD30_F6FB_4FF0_A429_8866A8232500_.wvu.PrintTitles" localSheetId="3" hidden="1">'прил1 к пасп МП'!$3:$5</definedName>
    <definedName name="Z_4767DD30_F6FB_4FF0_A429_8866A8232500_.wvu.PrintTitles" localSheetId="1" hidden="1">'прил2 к МП'!$3:$4</definedName>
    <definedName name="Z_4767DD30_F6FB_4FF0_A429_8866A8232500_.wvu.PrintTitles" localSheetId="4" hidden="1">'прил2 к пасп МП'!$3:$4</definedName>
    <definedName name="Z_4767DD30_F6FB_4FF0_A429_8866A8232500_.wvu.Rows" localSheetId="6" hidden="1">'Мероприятия прил2 к пасп подпр1'!#REF!,'Мероприятия прил2 к пасп подпр1'!#REF!,'Мероприятия прил2 к пасп подпр1'!#REF!,'Мероприятия прил2 к пасп подпр1'!#REF!,'Мероприятия прил2 к пасп подпр1'!#REF!,'Мероприятия прил2 к пасп подпр1'!#REF!,'Мероприятия прил2 к пасп подпр1'!#REF!,'Мероприятия прил2 к пасп подпр1'!#REF!,'Мероприятия прил2 к пасп подпр1'!#REF!</definedName>
    <definedName name="Z_4767DD30_F6FB_4FF0_A429_8866A8232500_.wvu.Rows" localSheetId="8" hidden="1">'Мероприятия прил2 к пасп подпр2'!#REF!,'Мероприятия прил2 к пасп подпр2'!#REF!,'Мероприятия прил2 к пасп подпр2'!#REF!,'Мероприятия прил2 к пасп подпр2'!$124:$124,'Мероприятия прил2 к пасп подпр2'!#REF!,'Мероприятия прил2 к пасп подпр2'!#REF!,'Мероприятия прил2 к пасп подпр2'!#REF!,'Мероприятия прил2 к пасп подпр2'!#REF!,'Мероприятия прил2 к пасп подпр2'!#REF!</definedName>
    <definedName name="Z_4767DD30_F6FB_4FF0_A429_8866A8232500_.wvu.Rows" localSheetId="10" hidden="1">'Мероприятия прил2 к пасп подпр3'!#REF!,'Мероприятия прил2 к пасп подпр3'!#REF!,'Мероприятия прил2 к пасп подпр3'!$6:$6,'Мероприятия прил2 к пасп подпр3'!#REF!,'Мероприятия прил2 к пасп подпр3'!#REF!,'Мероприятия прил2 к пасп подпр3'!#REF!,'Мероприятия прил2 к пасп подпр3'!#REF!,'Мероприятия прил2 к пасп подпр3'!#REF!,'Мероприятия прил2 к пасп подпр3'!#REF!</definedName>
    <definedName name="Z_4767DD30_F6FB_4FF0_A429_8866A8232500_.wvu.Rows" localSheetId="12" hidden="1">'Мероприятия прил2 к пасп подпр4'!#REF!,'Мероприятия прил2 к пасп подпр4'!#REF!</definedName>
    <definedName name="Z_484BD7FD_1D3D_4528_954E_A98D5B59AC9C_.wvu.FilterData" localSheetId="6" hidden="1">'Мероприятия прил2 к пасп подпр1'!$A$4:$X$73</definedName>
    <definedName name="Z_484BD7FD_1D3D_4528_954E_A98D5B59AC9C_.wvu.FilterData" localSheetId="8" hidden="1">'Мероприятия прил2 к пасп подпр2'!$A$4:$X$174</definedName>
    <definedName name="Z_484BD7FD_1D3D_4528_954E_A98D5B59AC9C_.wvu.FilterData" localSheetId="10" hidden="1">'Мероприятия прил2 к пасп подпр3'!$A$4:$V$35</definedName>
    <definedName name="Z_7C917F30_361A_4C86_9002_2134EAE2E3CF_.wvu.Cols" localSheetId="5" hidden="1">'Показатели прил1 к пасп подпр1'!$D:$D</definedName>
    <definedName name="Z_7C917F30_361A_4C86_9002_2134EAE2E3CF_.wvu.Cols" localSheetId="7" hidden="1">'Показатели прил1 к пасп подпр2'!$D:$D</definedName>
    <definedName name="Z_7C917F30_361A_4C86_9002_2134EAE2E3CF_.wvu.Cols" localSheetId="9" hidden="1">'Показатели прил1 к пасп подпр3'!$C:$C</definedName>
    <definedName name="Z_7C917F30_361A_4C86_9002_2134EAE2E3CF_.wvu.FilterData" localSheetId="6" hidden="1">'Мероприятия прил2 к пасп подпр1'!$A$4:$X$73</definedName>
    <definedName name="Z_7C917F30_361A_4C86_9002_2134EAE2E3CF_.wvu.FilterData" localSheetId="8" hidden="1">'Мероприятия прил2 к пасп подпр2'!$A$4:$X$174</definedName>
    <definedName name="Z_7C917F30_361A_4C86_9002_2134EAE2E3CF_.wvu.FilterData" localSheetId="10" hidden="1">'Мероприятия прил2 к пасп подпр3'!$A$4:$V$35</definedName>
    <definedName name="Z_7C917F30_361A_4C86_9002_2134EAE2E3CF_.wvu.PrintArea" localSheetId="6" hidden="1">'Мероприятия прил2 к пасп подпр1'!$A$1:$U$79</definedName>
    <definedName name="Z_7C917F30_361A_4C86_9002_2134EAE2E3CF_.wvu.PrintArea" localSheetId="8" hidden="1">'Мероприятия прил2 к пасп подпр2'!$A$1:$U$171</definedName>
    <definedName name="Z_7C917F30_361A_4C86_9002_2134EAE2E3CF_.wvu.PrintArea" localSheetId="10" hidden="1">'Мероприятия прил2 к пасп подпр3'!$A$1:$U$40</definedName>
    <definedName name="Z_7C917F30_361A_4C86_9002_2134EAE2E3CF_.wvu.PrintArea" localSheetId="5" hidden="1">'Показатели прил1 к пасп подпр1'!$A$1:$J$13</definedName>
    <definedName name="Z_7C917F30_361A_4C86_9002_2134EAE2E3CF_.wvu.PrintArea" localSheetId="7" hidden="1">'Показатели прил1 к пасп подпр2'!$A$1:$J$36</definedName>
    <definedName name="Z_7C917F30_361A_4C86_9002_2134EAE2E3CF_.wvu.PrintArea" localSheetId="9" hidden="1">'Показатели прил1 к пасп подпр3'!$A$1:$H$4</definedName>
    <definedName name="Z_7C917F30_361A_4C86_9002_2134EAE2E3CF_.wvu.PrintArea" localSheetId="11" hidden="1">'Показатели прил1 к пасп подпр4'!$A$1:$K$33</definedName>
    <definedName name="Z_7C917F30_361A_4C86_9002_2134EAE2E3CF_.wvu.PrintArea" localSheetId="1" hidden="1">'прил2 к МП'!$A$1:$P$33</definedName>
    <definedName name="Z_7C917F30_361A_4C86_9002_2134EAE2E3CF_.wvu.PrintTitles" localSheetId="6" hidden="1">'Мероприятия прил2 к пасп подпр1'!$3:$4</definedName>
    <definedName name="Z_7C917F30_361A_4C86_9002_2134EAE2E3CF_.wvu.PrintTitles" localSheetId="8" hidden="1">'Мероприятия прил2 к пасп подпр2'!$3:$4</definedName>
    <definedName name="Z_7C917F30_361A_4C86_9002_2134EAE2E3CF_.wvu.PrintTitles" localSheetId="10" hidden="1">'Мероприятия прил2 к пасп подпр3'!$3:$4</definedName>
    <definedName name="Z_7C917F30_361A_4C86_9002_2134EAE2E3CF_.wvu.PrintTitles" localSheetId="12" hidden="1">'Мероприятия прил2 к пасп подпр4'!$3:$4</definedName>
    <definedName name="Z_7C917F30_361A_4C86_9002_2134EAE2E3CF_.wvu.PrintTitles" localSheetId="5" hidden="1">'Показатели прил1 к пасп подпр1'!$3:$5</definedName>
    <definedName name="Z_7C917F30_361A_4C86_9002_2134EAE2E3CF_.wvu.PrintTitles" localSheetId="7" hidden="1">'Показатели прил1 к пасп подпр2'!$3:$5</definedName>
    <definedName name="Z_7C917F30_361A_4C86_9002_2134EAE2E3CF_.wvu.PrintTitles" localSheetId="9" hidden="1">'Показатели прил1 к пасп подпр3'!#REF!</definedName>
    <definedName name="Z_7C917F30_361A_4C86_9002_2134EAE2E3CF_.wvu.PrintTitles" localSheetId="1" hidden="1">'прил2 к МП'!$3:$4</definedName>
    <definedName name="Z_7C917F30_361A_4C86_9002_2134EAE2E3CF_.wvu.Rows" localSheetId="6" hidden="1">'Мероприятия прил2 к пасп подпр1'!#REF!,'Мероприятия прил2 к пасп подпр1'!#REF!,'Мероприятия прил2 к пасп подпр1'!#REF!,'Мероприятия прил2 к пасп подпр1'!#REF!,'Мероприятия прил2 к пасп подпр1'!#REF!,'Мероприятия прил2 к пасп подпр1'!#REF!,'Мероприятия прил2 к пасп подпр1'!#REF!,'Мероприятия прил2 к пасп подпр1'!#REF!,'Мероприятия прил2 к пасп подпр1'!#REF!,'Мероприятия прил2 к пасп подпр1'!#REF!,'Мероприятия прил2 к пасп подпр1'!#REF!,'Мероприятия прил2 к пасп подпр1'!#REF!</definedName>
    <definedName name="Z_7C917F30_361A_4C86_9002_2134EAE2E3CF_.wvu.Rows" localSheetId="8" hidden="1">'Мероприятия прил2 к пасп подпр2'!#REF!,'Мероприятия прил2 к пасп подпр2'!#REF!,'Мероприятия прил2 к пасп подпр2'!#REF!,'Мероприятия прил2 к пасп подпр2'!#REF!,'Мероприятия прил2 к пасп подпр2'!#REF!,'Мероприятия прил2 к пасп подпр2'!#REF!,'Мероприятия прил2 к пасп подпр2'!#REF!,'Мероприятия прил2 к пасп подпр2'!#REF!,'Мероприятия прил2 к пасп подпр2'!#REF!,'Мероприятия прил2 к пасп подпр2'!#REF!,'Мероприятия прил2 к пасп подпр2'!#REF!,'Мероприятия прил2 к пасп подпр2'!#REF!</definedName>
    <definedName name="Z_7C917F30_361A_4C86_9002_2134EAE2E3CF_.wvu.Rows" localSheetId="10" hidden="1">'Мероприятия прил2 к пасп подпр3'!#REF!,'Мероприятия прил2 к пасп подпр3'!#REF!,'Мероприятия прил2 к пасп подпр3'!#REF!,'Мероприятия прил2 к пасп подпр3'!#REF!,'Мероприятия прил2 к пасп подпр3'!#REF!,'Мероприятия прил2 к пасп подпр3'!#REF!,'Мероприятия прил2 к пасп подпр3'!#REF!,'Мероприятия прил2 к пасп подпр3'!#REF!,'Мероприятия прил2 к пасп подпр3'!#REF!,'Мероприятия прил2 к пасп подпр3'!#REF!,'Мероприятия прил2 к пасп подпр3'!#REF!,'Мероприятия прил2 к пасп подпр3'!#REF!</definedName>
    <definedName name="Z_7C917F30_361A_4C86_9002_2134EAE2E3CF_.wvu.Rows" localSheetId="12" hidden="1">'Мероприятия прил2 к пасп подпр4'!#REF!,'Мероприятия прил2 к пасп подпр4'!#REF!</definedName>
    <definedName name="Z_81F2AFB8_21DA_4513_90AB_0A09D7D72D56_.wvu.FilterData" localSheetId="6" hidden="1">'Мероприятия прил2 к пасп подпр1'!$A$4:$X$73</definedName>
    <definedName name="Z_81F2AFB8_21DA_4513_90AB_0A09D7D72D56_.wvu.FilterData" localSheetId="8" hidden="1">'Мероприятия прил2 к пасп подпр2'!$A$4:$X$174</definedName>
    <definedName name="Z_81F2AFB8_21DA_4513_90AB_0A09D7D72D56_.wvu.FilterData" localSheetId="10" hidden="1">'Мероприятия прил2 к пасп подпр3'!$A$4:$V$35</definedName>
    <definedName name="Z_AD6F79BD_847B_4421_A1AA_268A55FACAB4_.wvu.FilterData" localSheetId="6" hidden="1">'Мероприятия прил2 к пасп подпр1'!$A$4:$X$73</definedName>
    <definedName name="Z_AD6F79BD_847B_4421_A1AA_268A55FACAB4_.wvu.FilterData" localSheetId="8" hidden="1">'Мероприятия прил2 к пасп подпр2'!$A$4:$X$174</definedName>
    <definedName name="Z_AD6F79BD_847B_4421_A1AA_268A55FACAB4_.wvu.FilterData" localSheetId="10" hidden="1">'Мероприятия прил2 к пасп подпр3'!$A$4:$V$35</definedName>
    <definedName name="Z_B45C2115_52AF_4E7B_8578_551FB3CF371E_.wvu.FilterData" localSheetId="6" hidden="1">'Мероприятия прил2 к пасп подпр1'!$A$4:$X$73</definedName>
    <definedName name="Z_B45C2115_52AF_4E7B_8578_551FB3CF371E_.wvu.FilterData" localSheetId="8" hidden="1">'Мероприятия прил2 к пасп подпр2'!$A$4:$X$174</definedName>
    <definedName name="Z_B45C2115_52AF_4E7B_8578_551FB3CF371E_.wvu.FilterData" localSheetId="10" hidden="1">'Мероприятия прил2 к пасп подпр3'!$A$4:$V$35</definedName>
    <definedName name="Z_C75D4C66_EC35_48DB_8FCD_E29923CDB091_.wvu.FilterData" localSheetId="6" hidden="1">'Мероприятия прил2 к пасп подпр1'!$A$4:$X$73</definedName>
    <definedName name="Z_C75D4C66_EC35_48DB_8FCD_E29923CDB091_.wvu.FilterData" localSheetId="8" hidden="1">'Мероприятия прил2 к пасп подпр2'!$A$4:$X$174</definedName>
    <definedName name="Z_C75D4C66_EC35_48DB_8FCD_E29923CDB091_.wvu.FilterData" localSheetId="10" hidden="1">'Мероприятия прил2 к пасп подпр3'!$A$4:$V$35</definedName>
    <definedName name="Z_CDE1D6F6_68DF_42F8_B01A_FF6465B24CCD_.wvu.Cols" localSheetId="5" hidden="1">'Показатели прил1 к пасп подпр1'!$D:$D</definedName>
    <definedName name="Z_CDE1D6F6_68DF_42F8_B01A_FF6465B24CCD_.wvu.Cols" localSheetId="7" hidden="1">'Показатели прил1 к пасп подпр2'!$D:$D</definedName>
    <definedName name="Z_CDE1D6F6_68DF_42F8_B01A_FF6465B24CCD_.wvu.Cols" localSheetId="9" hidden="1">'Показатели прил1 к пасп подпр3'!$C:$C</definedName>
    <definedName name="Z_CDE1D6F6_68DF_42F8_B01A_FF6465B24CCD_.wvu.FilterData" localSheetId="6" hidden="1">'Мероприятия прил2 к пасп подпр1'!$A$4:$X$73</definedName>
    <definedName name="Z_CDE1D6F6_68DF_42F8_B01A_FF6465B24CCD_.wvu.FilterData" localSheetId="8" hidden="1">'Мероприятия прил2 к пасп подпр2'!$A$4:$X$174</definedName>
    <definedName name="Z_CDE1D6F6_68DF_42F8_B01A_FF6465B24CCD_.wvu.FilterData" localSheetId="10" hidden="1">'Мероприятия прил2 к пасп подпр3'!$A$4:$V$35</definedName>
    <definedName name="Z_CDE1D6F6_68DF_42F8_B01A_FF6465B24CCD_.wvu.PrintArea" localSheetId="6" hidden="1">'Мероприятия прил2 к пасп подпр1'!$A$1:$U$79</definedName>
    <definedName name="Z_CDE1D6F6_68DF_42F8_B01A_FF6465B24CCD_.wvu.PrintArea" localSheetId="8" hidden="1">'Мероприятия прил2 к пасп подпр2'!$A$1:$U$171</definedName>
    <definedName name="Z_CDE1D6F6_68DF_42F8_B01A_FF6465B24CCD_.wvu.PrintArea" localSheetId="10" hidden="1">'Мероприятия прил2 к пасп подпр3'!$A$1:$U$40</definedName>
    <definedName name="Z_CDE1D6F6_68DF_42F8_B01A_FF6465B24CCD_.wvu.PrintArea" localSheetId="12" hidden="1">'Мероприятия прил2 к пасп подпр4'!$A$1:$U$67</definedName>
    <definedName name="Z_CDE1D6F6_68DF_42F8_B01A_FF6465B24CCD_.wvu.PrintArea" localSheetId="5" hidden="1">'Показатели прил1 к пасп подпр1'!$A$1:$J$13</definedName>
    <definedName name="Z_CDE1D6F6_68DF_42F8_B01A_FF6465B24CCD_.wvu.PrintArea" localSheetId="7" hidden="1">'Показатели прил1 к пасп подпр2'!$A$1:$J$36</definedName>
    <definedName name="Z_CDE1D6F6_68DF_42F8_B01A_FF6465B24CCD_.wvu.PrintArea" localSheetId="9" hidden="1">'Показатели прил1 к пасп подпр3'!$A$1:$H$4</definedName>
    <definedName name="Z_CDE1D6F6_68DF_42F8_B01A_FF6465B24CCD_.wvu.PrintArea" localSheetId="11" hidden="1">'Показатели прил1 к пасп подпр4'!$A$1:$K$33</definedName>
    <definedName name="Z_CDE1D6F6_68DF_42F8_B01A_FF6465B24CCD_.wvu.PrintArea" localSheetId="1" hidden="1">'прил2 к МП'!$A$1:$P$33</definedName>
    <definedName name="Z_CDE1D6F6_68DF_42F8_B01A_FF6465B24CCD_.wvu.PrintTitles" localSheetId="6" hidden="1">'Мероприятия прил2 к пасп подпр1'!$3:$4</definedName>
    <definedName name="Z_CDE1D6F6_68DF_42F8_B01A_FF6465B24CCD_.wvu.PrintTitles" localSheetId="8" hidden="1">'Мероприятия прил2 к пасп подпр2'!$3:$4</definedName>
    <definedName name="Z_CDE1D6F6_68DF_42F8_B01A_FF6465B24CCD_.wvu.PrintTitles" localSheetId="10" hidden="1">'Мероприятия прил2 к пасп подпр3'!$3:$4</definedName>
    <definedName name="Z_CDE1D6F6_68DF_42F8_B01A_FF6465B24CCD_.wvu.PrintTitles" localSheetId="12" hidden="1">'Мероприятия прил2 к пасп подпр4'!$3:$4</definedName>
    <definedName name="Z_CDE1D6F6_68DF_42F8_B01A_FF6465B24CCD_.wvu.PrintTitles" localSheetId="5" hidden="1">'Показатели прил1 к пасп подпр1'!$3:$5</definedName>
    <definedName name="Z_CDE1D6F6_68DF_42F8_B01A_FF6465B24CCD_.wvu.PrintTitles" localSheetId="7" hidden="1">'Показатели прил1 к пасп подпр2'!$3:$5</definedName>
    <definedName name="Z_CDE1D6F6_68DF_42F8_B01A_FF6465B24CCD_.wvu.PrintTitles" localSheetId="9" hidden="1">'Показатели прил1 к пасп подпр3'!#REF!</definedName>
    <definedName name="Z_CDE1D6F6_68DF_42F8_B01A_FF6465B24CCD_.wvu.PrintTitles" localSheetId="1" hidden="1">'прил2 к МП'!$3:$4</definedName>
    <definedName name="Z_CDE1D6F6_68DF_42F8_B01A_FF6465B24CCD_.wvu.Rows" localSheetId="12" hidden="1">'Мероприятия прил2 к пасп подпр4'!#REF!,'Мероприятия прил2 к пасп подпр4'!#REF!</definedName>
    <definedName name="Z_D97B14A5_4ECD_4EB7_B8A7_D41E462F19A2_.wvu.FilterData" localSheetId="6" hidden="1">'Мероприятия прил2 к пасп подпр1'!$A$4:$X$73</definedName>
    <definedName name="Z_D97B14A5_4ECD_4EB7_B8A7_D41E462F19A2_.wvu.FilterData" localSheetId="8" hidden="1">'Мероприятия прил2 к пасп подпр2'!$A$4:$X$174</definedName>
    <definedName name="Z_D97B14A5_4ECD_4EB7_B8A7_D41E462F19A2_.wvu.FilterData" localSheetId="10" hidden="1">'Мероприятия прил2 к пасп подпр3'!$A$4:$V$35</definedName>
    <definedName name="Z_FAC3C627_8E23_41AB_B3FB_95B33614D8DB_.wvu.FilterData" localSheetId="6" hidden="1">'Мероприятия прил2 к пасп подпр1'!$A$4:$X$73</definedName>
    <definedName name="Z_FAC3C627_8E23_41AB_B3FB_95B33614D8DB_.wvu.FilterData" localSheetId="8" hidden="1">'Мероприятия прил2 к пасп подпр2'!$A$4:$X$174</definedName>
    <definedName name="Z_FAC3C627_8E23_41AB_B3FB_95B33614D8DB_.wvu.FilterData" localSheetId="10" hidden="1">'Мероприятия прил2 к пасп подпр3'!$A$4:$V$35</definedName>
    <definedName name="_xlnm.Print_Titles" localSheetId="6">'Мероприятия прил2 к пасп подпр1'!$3:$4</definedName>
    <definedName name="_xlnm.Print_Titles" localSheetId="8">'Мероприятия прил2 к пасп подпр2'!$3:$4</definedName>
    <definedName name="_xlnm.Print_Titles" localSheetId="10">'Мероприятия прил2 к пасп подпр3'!$3:$4</definedName>
    <definedName name="_xlnm.Print_Titles" localSheetId="12">'Мероприятия прил2 к пасп подпр4'!$3:$4</definedName>
    <definedName name="_xlnm.Print_Titles" localSheetId="5">'Показатели прил1 к пасп подпр1'!$3:$5</definedName>
    <definedName name="_xlnm.Print_Titles" localSheetId="7">'Показатели прил1 к пасп подпр2'!$3:$5</definedName>
    <definedName name="_xlnm.Print_Titles" localSheetId="9">'Показатели прил1 к пасп подпр3'!#REF!</definedName>
    <definedName name="_xlnm.Print_Titles" localSheetId="3">'прил1 к пасп МП'!$3:$5</definedName>
    <definedName name="_xlnm.Print_Titles" localSheetId="1">'прил2 к МП'!$3:$4</definedName>
    <definedName name="_xlnm.Print_Titles" localSheetId="4">'прил2 к пасп МП'!$3:$4</definedName>
    <definedName name="_xlnm.Print_Area" localSheetId="6">'Мероприятия прил2 к пасп подпр1'!$A$1:$U$104</definedName>
    <definedName name="_xlnm.Print_Area" localSheetId="8">'Мероприятия прил2 к пасп подпр2'!$A$1:$U$171</definedName>
    <definedName name="_xlnm.Print_Area" localSheetId="10">'Мероприятия прил2 к пасп подпр3'!$A$1:$U$40</definedName>
    <definedName name="_xlnm.Print_Area" localSheetId="12">'Мероприятия прил2 к пасп подпр4'!$A$1:$U$67</definedName>
    <definedName name="_xlnm.Print_Area" localSheetId="5">'Показатели прил1 к пасп подпр1'!$A$1:$P$13</definedName>
    <definedName name="_xlnm.Print_Area" localSheetId="7">'Показатели прил1 к пасп подпр2'!$A$1:$P$36</definedName>
    <definedName name="_xlnm.Print_Area" localSheetId="9">'Показатели прил1 к пасп подпр3'!$A$1:$Q$13</definedName>
    <definedName name="_xlnm.Print_Area" localSheetId="11">'Показатели прил1 к пасп подпр4'!$A$1:$P$29</definedName>
    <definedName name="_xlnm.Print_Area" localSheetId="3">'прил1 к пасп МП'!$A$1:$R$76</definedName>
    <definedName name="_xlnm.Print_Area" localSheetId="1">'прил2 к МП'!$A$1:$P$33</definedName>
    <definedName name="_xlnm.Print_Area" localSheetId="4">'прил2 к пасп МП'!$A$1:$X$10</definedName>
    <definedName name="_xlnm.Print_Area" localSheetId="2">'прил3 к МП'!$A$1:$Z$35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5" i="12" l="1"/>
  <c r="H65" i="12"/>
  <c r="T64" i="12"/>
  <c r="S64" i="12"/>
  <c r="R64" i="12"/>
  <c r="P64" i="12"/>
  <c r="N62" i="12"/>
  <c r="N65" i="12" s="1"/>
  <c r="M62" i="12"/>
  <c r="M65" i="12" s="1"/>
  <c r="L62" i="12"/>
  <c r="J62" i="12"/>
  <c r="J65" i="12" s="1"/>
  <c r="I62" i="12"/>
  <c r="I65" i="12" s="1"/>
  <c r="H62" i="12"/>
  <c r="Q61" i="12"/>
  <c r="O61" i="12"/>
  <c r="O62" i="12" s="1"/>
  <c r="O65" i="12" s="1"/>
  <c r="K61" i="12"/>
  <c r="K62" i="12" s="1"/>
  <c r="K65" i="12" s="1"/>
  <c r="S60" i="12"/>
  <c r="R60" i="12"/>
  <c r="R62" i="12" s="1"/>
  <c r="Q60" i="12"/>
  <c r="T60" i="12" s="1"/>
  <c r="R59" i="12"/>
  <c r="S59" i="12" s="1"/>
  <c r="Q59" i="12"/>
  <c r="P59" i="12"/>
  <c r="S58" i="12"/>
  <c r="T58" i="12" s="1"/>
  <c r="T57" i="12"/>
  <c r="S57" i="12"/>
  <c r="S56" i="12"/>
  <c r="T56" i="12" s="1"/>
  <c r="Q55" i="12"/>
  <c r="S54" i="12"/>
  <c r="S62" i="12" s="1"/>
  <c r="P54" i="12"/>
  <c r="P62" i="12" s="1"/>
  <c r="I52" i="12"/>
  <c r="I66" i="12" s="1"/>
  <c r="H52" i="12"/>
  <c r="H63" i="12" s="1"/>
  <c r="Q51" i="12"/>
  <c r="R51" i="12" s="1"/>
  <c r="S51" i="12" s="1"/>
  <c r="N51" i="12"/>
  <c r="T51" i="12" s="1"/>
  <c r="P50" i="12"/>
  <c r="N50" i="12"/>
  <c r="T50" i="12" s="1"/>
  <c r="Q49" i="12"/>
  <c r="R49" i="12" s="1"/>
  <c r="S49" i="12" s="1"/>
  <c r="P49" i="12"/>
  <c r="T49" i="12" s="1"/>
  <c r="S48" i="12"/>
  <c r="P48" i="12"/>
  <c r="W19" i="12" s="1"/>
  <c r="Q47" i="12"/>
  <c r="Q46" i="12"/>
  <c r="Q45" i="12"/>
  <c r="R44" i="12"/>
  <c r="T43" i="12"/>
  <c r="S43" i="12"/>
  <c r="S42" i="12"/>
  <c r="T42" i="12" s="1"/>
  <c r="P41" i="12"/>
  <c r="Q40" i="12"/>
  <c r="R40" i="12" s="1"/>
  <c r="S40" i="12" s="1"/>
  <c r="P40" i="12"/>
  <c r="T40" i="12" s="1"/>
  <c r="T39" i="12"/>
  <c r="P38" i="12"/>
  <c r="Q38" i="12" s="1"/>
  <c r="R37" i="12"/>
  <c r="S37" i="12" s="1"/>
  <c r="T37" i="12" s="1"/>
  <c r="S36" i="12"/>
  <c r="T36" i="12" s="1"/>
  <c r="R36" i="12"/>
  <c r="P35" i="12"/>
  <c r="Q35" i="12" s="1"/>
  <c r="R35" i="12" s="1"/>
  <c r="S35" i="12" s="1"/>
  <c r="P34" i="12"/>
  <c r="X33" i="12"/>
  <c r="R33" i="12"/>
  <c r="Q32" i="12"/>
  <c r="R32" i="12" s="1"/>
  <c r="R31" i="12"/>
  <c r="S31" i="12" s="1"/>
  <c r="T31" i="12" s="1"/>
  <c r="S30" i="12"/>
  <c r="T30" i="12" s="1"/>
  <c r="P30" i="12"/>
  <c r="O30" i="12"/>
  <c r="M30" i="12"/>
  <c r="M52" i="12" s="1"/>
  <c r="M63" i="12" s="1"/>
  <c r="Q29" i="12"/>
  <c r="Q70" i="12" s="1"/>
  <c r="P29" i="12"/>
  <c r="O29" i="12"/>
  <c r="N29" i="12"/>
  <c r="M29" i="12"/>
  <c r="K29" i="12"/>
  <c r="J29" i="12"/>
  <c r="I29" i="12"/>
  <c r="H29" i="12"/>
  <c r="S28" i="12"/>
  <c r="T28" i="12" s="1"/>
  <c r="P28" i="12"/>
  <c r="R27" i="12"/>
  <c r="Q26" i="12"/>
  <c r="Q25" i="12"/>
  <c r="R24" i="12"/>
  <c r="T23" i="12"/>
  <c r="S23" i="12"/>
  <c r="R23" i="12"/>
  <c r="Q22" i="12"/>
  <c r="R22" i="12" s="1"/>
  <c r="S21" i="12"/>
  <c r="T21" i="12" s="1"/>
  <c r="L21" i="12"/>
  <c r="P20" i="12"/>
  <c r="Q20" i="12" s="1"/>
  <c r="R20" i="12" s="1"/>
  <c r="S20" i="12" s="1"/>
  <c r="R19" i="12"/>
  <c r="S19" i="12" s="1"/>
  <c r="T19" i="12" s="1"/>
  <c r="L19" i="12"/>
  <c r="P18" i="12"/>
  <c r="P52" i="12" s="1"/>
  <c r="P63" i="12" s="1"/>
  <c r="Q17" i="12"/>
  <c r="R17" i="12" s="1"/>
  <c r="S17" i="12" s="1"/>
  <c r="P17" i="12"/>
  <c r="T17" i="12" s="1"/>
  <c r="P16" i="12"/>
  <c r="Q16" i="12" s="1"/>
  <c r="R16" i="12" s="1"/>
  <c r="S16" i="12" s="1"/>
  <c r="P15" i="12"/>
  <c r="Q15" i="12" s="1"/>
  <c r="T14" i="12"/>
  <c r="Q13" i="12"/>
  <c r="R12" i="12"/>
  <c r="Q11" i="12"/>
  <c r="R11" i="12" s="1"/>
  <c r="R10" i="12"/>
  <c r="S10" i="12" s="1"/>
  <c r="T10" i="12" s="1"/>
  <c r="S9" i="12"/>
  <c r="T9" i="12" s="1"/>
  <c r="S8" i="12"/>
  <c r="O8" i="12"/>
  <c r="O52" i="12" s="1"/>
  <c r="O63" i="12" s="1"/>
  <c r="O66" i="12" s="1"/>
  <c r="N8" i="12"/>
  <c r="N52" i="12" s="1"/>
  <c r="N63" i="12" s="1"/>
  <c r="K8" i="12"/>
  <c r="K52" i="12" s="1"/>
  <c r="S7" i="12"/>
  <c r="N28" i="11"/>
  <c r="P28" i="11" s="1"/>
  <c r="P27" i="11"/>
  <c r="N27" i="11"/>
  <c r="O27" i="11" s="1"/>
  <c r="P25" i="11"/>
  <c r="O25" i="11"/>
  <c r="N25" i="11"/>
  <c r="N24" i="11"/>
  <c r="P24" i="11" s="1"/>
  <c r="N23" i="11"/>
  <c r="P23" i="11" s="1"/>
  <c r="P22" i="11"/>
  <c r="N22" i="11"/>
  <c r="O22" i="11" s="1"/>
  <c r="P21" i="11"/>
  <c r="O21" i="11"/>
  <c r="N21" i="11"/>
  <c r="N20" i="11"/>
  <c r="P20" i="11" s="1"/>
  <c r="N19" i="11"/>
  <c r="P19" i="11" s="1"/>
  <c r="P18" i="11"/>
  <c r="N18" i="11"/>
  <c r="O18" i="11" s="1"/>
  <c r="P17" i="11"/>
  <c r="O17" i="11"/>
  <c r="N17" i="11"/>
  <c r="N16" i="11"/>
  <c r="P16" i="11" s="1"/>
  <c r="N15" i="11"/>
  <c r="P15" i="11" s="1"/>
  <c r="P13" i="11"/>
  <c r="N12" i="11"/>
  <c r="P12" i="11" s="1"/>
  <c r="P11" i="11"/>
  <c r="S38" i="10"/>
  <c r="Q38" i="10"/>
  <c r="P38" i="10"/>
  <c r="O38" i="10"/>
  <c r="N38" i="10"/>
  <c r="L38" i="10"/>
  <c r="K38" i="10"/>
  <c r="J38" i="10"/>
  <c r="I38" i="10"/>
  <c r="H38" i="10"/>
  <c r="O37" i="10"/>
  <c r="N37" i="10"/>
  <c r="M37" i="10"/>
  <c r="L37" i="10"/>
  <c r="K37" i="10"/>
  <c r="J37" i="10"/>
  <c r="I37" i="10"/>
  <c r="O36" i="10"/>
  <c r="N36" i="10"/>
  <c r="M36" i="10"/>
  <c r="L36" i="10"/>
  <c r="J36" i="10"/>
  <c r="I36" i="10"/>
  <c r="H36" i="10"/>
  <c r="O35" i="10"/>
  <c r="P34" i="10"/>
  <c r="Q34" i="10" s="1"/>
  <c r="R34" i="10" s="1"/>
  <c r="S34" i="10" s="1"/>
  <c r="N34" i="10"/>
  <c r="M34" i="10"/>
  <c r="L34" i="10"/>
  <c r="K34" i="10"/>
  <c r="T34" i="10" s="1"/>
  <c r="J34" i="10"/>
  <c r="I34" i="10"/>
  <c r="H34" i="10"/>
  <c r="P33" i="10"/>
  <c r="Q33" i="10" s="1"/>
  <c r="Q32" i="10"/>
  <c r="R32" i="10" s="1"/>
  <c r="S32" i="10" s="1"/>
  <c r="P32" i="10"/>
  <c r="T32" i="10" s="1"/>
  <c r="P31" i="10"/>
  <c r="Q31" i="10" s="1"/>
  <c r="R31" i="10" s="1"/>
  <c r="S31" i="10" s="1"/>
  <c r="Q30" i="10"/>
  <c r="R30" i="10" s="1"/>
  <c r="S30" i="10" s="1"/>
  <c r="P30" i="10"/>
  <c r="P29" i="10"/>
  <c r="Q28" i="10"/>
  <c r="R28" i="10" s="1"/>
  <c r="S28" i="10" s="1"/>
  <c r="P28" i="10"/>
  <c r="T28" i="10" s="1"/>
  <c r="P27" i="10"/>
  <c r="Q27" i="10" s="1"/>
  <c r="R27" i="10" s="1"/>
  <c r="S27" i="10" s="1"/>
  <c r="Q26" i="10"/>
  <c r="R26" i="10" s="1"/>
  <c r="S26" i="10" s="1"/>
  <c r="P26" i="10"/>
  <c r="P25" i="10"/>
  <c r="Q25" i="10" s="1"/>
  <c r="R25" i="10" s="1"/>
  <c r="S25" i="10" s="1"/>
  <c r="O23" i="10"/>
  <c r="N23" i="10"/>
  <c r="N35" i="10" s="1"/>
  <c r="M23" i="10"/>
  <c r="M35" i="10" s="1"/>
  <c r="L23" i="10"/>
  <c r="L35" i="10" s="1"/>
  <c r="J23" i="10"/>
  <c r="J35" i="10" s="1"/>
  <c r="I23" i="10"/>
  <c r="I35" i="10" s="1"/>
  <c r="P22" i="10"/>
  <c r="Q22" i="10" s="1"/>
  <c r="R22" i="10" s="1"/>
  <c r="S22" i="10" s="1"/>
  <c r="S21" i="10"/>
  <c r="T21" i="10" s="1"/>
  <c r="S20" i="10"/>
  <c r="T20" i="10" s="1"/>
  <c r="Q19" i="10"/>
  <c r="R19" i="10" s="1"/>
  <c r="S19" i="10" s="1"/>
  <c r="P19" i="10"/>
  <c r="T18" i="10"/>
  <c r="S18" i="10"/>
  <c r="M18" i="10"/>
  <c r="M38" i="10" s="1"/>
  <c r="S17" i="10"/>
  <c r="T17" i="10" s="1"/>
  <c r="R17" i="10"/>
  <c r="R16" i="10"/>
  <c r="Q15" i="10"/>
  <c r="Q36" i="10" s="1"/>
  <c r="P15" i="10"/>
  <c r="S14" i="10"/>
  <c r="K14" i="10"/>
  <c r="K23" i="10" s="1"/>
  <c r="K35" i="10" s="1"/>
  <c r="Q13" i="10"/>
  <c r="R13" i="10" s="1"/>
  <c r="S13" i="10" s="1"/>
  <c r="P13" i="10"/>
  <c r="P12" i="10"/>
  <c r="Q12" i="10" s="1"/>
  <c r="R12" i="10" s="1"/>
  <c r="S12" i="10" s="1"/>
  <c r="H12" i="10"/>
  <c r="H37" i="10" s="1"/>
  <c r="P11" i="10"/>
  <c r="Q10" i="10"/>
  <c r="Q9" i="10"/>
  <c r="P9" i="10"/>
  <c r="P37" i="10" s="1"/>
  <c r="T8" i="10"/>
  <c r="T6" i="10"/>
  <c r="Q172" i="9"/>
  <c r="O172" i="9"/>
  <c r="Q170" i="9"/>
  <c r="P170" i="9"/>
  <c r="O170" i="9"/>
  <c r="M170" i="9"/>
  <c r="K170" i="9"/>
  <c r="J170" i="9"/>
  <c r="I170" i="9"/>
  <c r="O169" i="9"/>
  <c r="O177" i="9" s="1"/>
  <c r="N169" i="9"/>
  <c r="M169" i="9"/>
  <c r="J169" i="9"/>
  <c r="T168" i="9"/>
  <c r="J167" i="9"/>
  <c r="I167" i="9"/>
  <c r="H167" i="9"/>
  <c r="O165" i="9"/>
  <c r="N165" i="9"/>
  <c r="M165" i="9"/>
  <c r="K165" i="9"/>
  <c r="J165" i="9"/>
  <c r="J166" i="9" s="1"/>
  <c r="I165" i="9"/>
  <c r="S164" i="9"/>
  <c r="T164" i="9" s="1"/>
  <c r="R164" i="9"/>
  <c r="Q164" i="9"/>
  <c r="S162" i="9"/>
  <c r="T162" i="9" s="1"/>
  <c r="T160" i="9"/>
  <c r="S160" i="9"/>
  <c r="T158" i="9"/>
  <c r="T156" i="9"/>
  <c r="S156" i="9"/>
  <c r="T154" i="9"/>
  <c r="P153" i="9"/>
  <c r="Q153" i="9" s="1"/>
  <c r="R153" i="9" s="1"/>
  <c r="S153" i="9" s="1"/>
  <c r="P152" i="9"/>
  <c r="Q152" i="9" s="1"/>
  <c r="R152" i="9" s="1"/>
  <c r="S152" i="9" s="1"/>
  <c r="Q151" i="9"/>
  <c r="R151" i="9" s="1"/>
  <c r="S151" i="9" s="1"/>
  <c r="P151" i="9"/>
  <c r="T151" i="9" s="1"/>
  <c r="R150" i="9"/>
  <c r="S150" i="9" s="1"/>
  <c r="Q150" i="9"/>
  <c r="P150" i="9"/>
  <c r="T150" i="9" s="1"/>
  <c r="S149" i="9"/>
  <c r="P149" i="9"/>
  <c r="Q149" i="9" s="1"/>
  <c r="R149" i="9" s="1"/>
  <c r="T148" i="9"/>
  <c r="P148" i="9"/>
  <c r="Q148" i="9" s="1"/>
  <c r="R148" i="9" s="1"/>
  <c r="S148" i="9" s="1"/>
  <c r="Q147" i="9"/>
  <c r="R147" i="9" s="1"/>
  <c r="S147" i="9" s="1"/>
  <c r="P147" i="9"/>
  <c r="R146" i="9"/>
  <c r="S146" i="9" s="1"/>
  <c r="Q146" i="9"/>
  <c r="P146" i="9"/>
  <c r="T146" i="9" s="1"/>
  <c r="P145" i="9"/>
  <c r="Q145" i="9" s="1"/>
  <c r="R145" i="9" s="1"/>
  <c r="S145" i="9" s="1"/>
  <c r="T144" i="9"/>
  <c r="S144" i="9"/>
  <c r="L144" i="9"/>
  <c r="L165" i="9" s="1"/>
  <c r="H144" i="9"/>
  <c r="H170" i="9" s="1"/>
  <c r="T143" i="9"/>
  <c r="S143" i="9"/>
  <c r="R143" i="9"/>
  <c r="S142" i="9"/>
  <c r="T142" i="9" s="1"/>
  <c r="R142" i="9"/>
  <c r="Q142" i="9"/>
  <c r="P141" i="9"/>
  <c r="Q141" i="9" s="1"/>
  <c r="R141" i="9" s="1"/>
  <c r="S141" i="9" s="1"/>
  <c r="P140" i="9"/>
  <c r="Q140" i="9" s="1"/>
  <c r="R140" i="9" s="1"/>
  <c r="S140" i="9" s="1"/>
  <c r="Q139" i="9"/>
  <c r="R139" i="9" s="1"/>
  <c r="S139" i="9" s="1"/>
  <c r="P139" i="9"/>
  <c r="T139" i="9" s="1"/>
  <c r="R138" i="9"/>
  <c r="S138" i="9" s="1"/>
  <c r="Q138" i="9"/>
  <c r="T138" i="9" s="1"/>
  <c r="R137" i="9"/>
  <c r="Q136" i="9"/>
  <c r="R136" i="9" s="1"/>
  <c r="S136" i="9" s="1"/>
  <c r="P136" i="9"/>
  <c r="R135" i="9"/>
  <c r="S135" i="9" s="1"/>
  <c r="P135" i="9"/>
  <c r="Q135" i="9" s="1"/>
  <c r="S134" i="9"/>
  <c r="T134" i="9" s="1"/>
  <c r="R134" i="9"/>
  <c r="Q134" i="9"/>
  <c r="S133" i="9"/>
  <c r="T133" i="9" s="1"/>
  <c r="R133" i="9"/>
  <c r="Q133" i="9"/>
  <c r="S132" i="9"/>
  <c r="R132" i="9"/>
  <c r="P132" i="9"/>
  <c r="P172" i="9" s="1"/>
  <c r="J132" i="9"/>
  <c r="T131" i="9"/>
  <c r="S131" i="9"/>
  <c r="T130" i="9"/>
  <c r="T129" i="9"/>
  <c r="P129" i="9"/>
  <c r="P165" i="9" s="1"/>
  <c r="O127" i="9"/>
  <c r="L127" i="9"/>
  <c r="J127" i="9"/>
  <c r="H127" i="9"/>
  <c r="Q126" i="9"/>
  <c r="R126" i="9" s="1"/>
  <c r="S126" i="9" s="1"/>
  <c r="P126" i="9"/>
  <c r="T126" i="9" s="1"/>
  <c r="P125" i="9"/>
  <c r="Q125" i="9" s="1"/>
  <c r="R125" i="9" s="1"/>
  <c r="S125" i="9" s="1"/>
  <c r="P124" i="9"/>
  <c r="Q124" i="9" s="1"/>
  <c r="R124" i="9" s="1"/>
  <c r="S124" i="9" s="1"/>
  <c r="P123" i="9"/>
  <c r="Q123" i="9" s="1"/>
  <c r="R123" i="9" s="1"/>
  <c r="S123" i="9" s="1"/>
  <c r="Q122" i="9"/>
  <c r="R122" i="9" s="1"/>
  <c r="S122" i="9" s="1"/>
  <c r="P122" i="9"/>
  <c r="T122" i="9" s="1"/>
  <c r="P121" i="9"/>
  <c r="Q121" i="9" s="1"/>
  <c r="R121" i="9" s="1"/>
  <c r="S121" i="9" s="1"/>
  <c r="R120" i="9"/>
  <c r="S120" i="9" s="1"/>
  <c r="N120" i="9"/>
  <c r="M120" i="9"/>
  <c r="L120" i="9"/>
  <c r="L170" i="9" s="1"/>
  <c r="T119" i="9"/>
  <c r="T118" i="9"/>
  <c r="T117" i="9"/>
  <c r="T116" i="9"/>
  <c r="S115" i="9"/>
  <c r="P115" i="9"/>
  <c r="Q115" i="9" s="1"/>
  <c r="R115" i="9" s="1"/>
  <c r="T114" i="9"/>
  <c r="S114" i="9"/>
  <c r="R114" i="9"/>
  <c r="P114" i="9"/>
  <c r="T113" i="9"/>
  <c r="P113" i="9"/>
  <c r="Q113" i="9" s="1"/>
  <c r="R113" i="9" s="1"/>
  <c r="S113" i="9" s="1"/>
  <c r="Q112" i="9"/>
  <c r="Q111" i="9"/>
  <c r="Q110" i="9"/>
  <c r="Q109" i="9"/>
  <c r="R108" i="9"/>
  <c r="T107" i="9"/>
  <c r="S107" i="9"/>
  <c r="R107" i="9"/>
  <c r="P106" i="9"/>
  <c r="Q105" i="9"/>
  <c r="T104" i="9"/>
  <c r="R103" i="9"/>
  <c r="S103" i="9" s="1"/>
  <c r="Q103" i="9"/>
  <c r="T103" i="9" s="1"/>
  <c r="R102" i="9"/>
  <c r="S102" i="9" s="1"/>
  <c r="Q102" i="9"/>
  <c r="L102" i="9"/>
  <c r="T102" i="9" s="1"/>
  <c r="S101" i="9"/>
  <c r="P101" i="9"/>
  <c r="Q101" i="9" s="1"/>
  <c r="R101" i="9" s="1"/>
  <c r="T100" i="9"/>
  <c r="S100" i="9"/>
  <c r="R99" i="9"/>
  <c r="S99" i="9" s="1"/>
  <c r="Q99" i="9"/>
  <c r="S98" i="9"/>
  <c r="T98" i="9" s="1"/>
  <c r="T97" i="9"/>
  <c r="S97" i="9"/>
  <c r="R96" i="9"/>
  <c r="S96" i="9" s="1"/>
  <c r="Q96" i="9"/>
  <c r="T96" i="9" s="1"/>
  <c r="T95" i="9"/>
  <c r="S94" i="9"/>
  <c r="T94" i="9" s="1"/>
  <c r="Q93" i="9"/>
  <c r="Q92" i="9"/>
  <c r="R92" i="9" s="1"/>
  <c r="S92" i="9" s="1"/>
  <c r="M92" i="9"/>
  <c r="K92" i="9"/>
  <c r="T92" i="9" s="1"/>
  <c r="T91" i="9"/>
  <c r="T90" i="9"/>
  <c r="T89" i="9"/>
  <c r="R88" i="9"/>
  <c r="S88" i="9" s="1"/>
  <c r="P88" i="9"/>
  <c r="Q88" i="9" s="1"/>
  <c r="S87" i="9"/>
  <c r="P87" i="9"/>
  <c r="Q87" i="9" s="1"/>
  <c r="R87" i="9" s="1"/>
  <c r="T86" i="9"/>
  <c r="P86" i="9"/>
  <c r="Q86" i="9" s="1"/>
  <c r="R86" i="9" s="1"/>
  <c r="S86" i="9" s="1"/>
  <c r="Q85" i="9"/>
  <c r="R85" i="9" s="1"/>
  <c r="S85" i="9" s="1"/>
  <c r="P85" i="9"/>
  <c r="R84" i="9"/>
  <c r="S84" i="9" s="1"/>
  <c r="P84" i="9"/>
  <c r="Q84" i="9" s="1"/>
  <c r="S83" i="9"/>
  <c r="P83" i="9"/>
  <c r="Q83" i="9" s="1"/>
  <c r="R83" i="9" s="1"/>
  <c r="T82" i="9"/>
  <c r="P82" i="9"/>
  <c r="Q82" i="9" s="1"/>
  <c r="R82" i="9" s="1"/>
  <c r="S82" i="9" s="1"/>
  <c r="Q81" i="9"/>
  <c r="Q80" i="9"/>
  <c r="Q79" i="9"/>
  <c r="R79" i="9" s="1"/>
  <c r="S79" i="9" s="1"/>
  <c r="K79" i="9"/>
  <c r="K127" i="9" s="1"/>
  <c r="R78" i="9"/>
  <c r="S78" i="9" s="1"/>
  <c r="Q78" i="9"/>
  <c r="R77" i="9"/>
  <c r="S77" i="9" s="1"/>
  <c r="Q77" i="9"/>
  <c r="P77" i="9"/>
  <c r="S76" i="9"/>
  <c r="T76" i="9" s="1"/>
  <c r="Q76" i="9"/>
  <c r="Q169" i="9" s="1"/>
  <c r="Q173" i="9" s="1"/>
  <c r="P76" i="9"/>
  <c r="S75" i="9"/>
  <c r="T75" i="9" s="1"/>
  <c r="S74" i="9"/>
  <c r="P74" i="9"/>
  <c r="T74" i="9" s="1"/>
  <c r="P73" i="9"/>
  <c r="Q73" i="9" s="1"/>
  <c r="R73" i="9" s="1"/>
  <c r="S73" i="9" s="1"/>
  <c r="T72" i="9"/>
  <c r="T71" i="9"/>
  <c r="Q70" i="9"/>
  <c r="T70" i="9" s="1"/>
  <c r="P70" i="9"/>
  <c r="T69" i="9"/>
  <c r="T68" i="9"/>
  <c r="Q67" i="9"/>
  <c r="R67" i="9" s="1"/>
  <c r="S67" i="9" s="1"/>
  <c r="L67" i="9"/>
  <c r="L169" i="9" s="1"/>
  <c r="I67" i="9"/>
  <c r="I169" i="9" s="1"/>
  <c r="H67" i="9"/>
  <c r="H169" i="9" s="1"/>
  <c r="S66" i="9"/>
  <c r="T66" i="9" s="1"/>
  <c r="R66" i="9"/>
  <c r="Q66" i="9"/>
  <c r="Q127" i="9" s="1"/>
  <c r="O64" i="9"/>
  <c r="W120" i="9" s="1"/>
  <c r="X120" i="9" s="1"/>
  <c r="J64" i="9"/>
  <c r="I64" i="9"/>
  <c r="H64" i="9"/>
  <c r="T63" i="9"/>
  <c r="S63" i="9"/>
  <c r="R63" i="9"/>
  <c r="T62" i="9"/>
  <c r="T61" i="9"/>
  <c r="S61" i="9"/>
  <c r="S60" i="9"/>
  <c r="T60" i="9" s="1"/>
  <c r="Q59" i="9"/>
  <c r="R59" i="9" s="1"/>
  <c r="S59" i="9" s="1"/>
  <c r="T58" i="9"/>
  <c r="Q58" i="9"/>
  <c r="R58" i="9" s="1"/>
  <c r="S58" i="9" s="1"/>
  <c r="Q57" i="9"/>
  <c r="R57" i="9" s="1"/>
  <c r="S57" i="9" s="1"/>
  <c r="T56" i="9"/>
  <c r="Q56" i="9"/>
  <c r="R56" i="9" s="1"/>
  <c r="S56" i="9" s="1"/>
  <c r="N56" i="9"/>
  <c r="R55" i="9"/>
  <c r="T54" i="9"/>
  <c r="S54" i="9"/>
  <c r="R54" i="9"/>
  <c r="T53" i="9"/>
  <c r="T52" i="9"/>
  <c r="R51" i="9"/>
  <c r="S51" i="9" s="1"/>
  <c r="Q51" i="9"/>
  <c r="R50" i="9"/>
  <c r="T49" i="9"/>
  <c r="Q49" i="9"/>
  <c r="R49" i="9" s="1"/>
  <c r="S49" i="9" s="1"/>
  <c r="Q48" i="9"/>
  <c r="R48" i="9" s="1"/>
  <c r="S48" i="9" s="1"/>
  <c r="T47" i="9"/>
  <c r="S47" i="9"/>
  <c r="R47" i="9"/>
  <c r="S46" i="9"/>
  <c r="T46" i="9" s="1"/>
  <c r="R46" i="9"/>
  <c r="R45" i="9"/>
  <c r="T44" i="9"/>
  <c r="S44" i="9"/>
  <c r="R44" i="9"/>
  <c r="S43" i="9"/>
  <c r="R43" i="9"/>
  <c r="N43" i="9"/>
  <c r="K43" i="9"/>
  <c r="T43" i="9" s="1"/>
  <c r="T42" i="9"/>
  <c r="S42" i="9"/>
  <c r="R42" i="9"/>
  <c r="L42" i="9"/>
  <c r="L64" i="9" s="1"/>
  <c r="K42" i="9"/>
  <c r="Q41" i="9"/>
  <c r="R41" i="9" s="1"/>
  <c r="P41" i="9"/>
  <c r="R40" i="9"/>
  <c r="S40" i="9" s="1"/>
  <c r="Q40" i="9"/>
  <c r="P40" i="9"/>
  <c r="S39" i="9"/>
  <c r="T39" i="9" s="1"/>
  <c r="T38" i="9"/>
  <c r="S38" i="9"/>
  <c r="S37" i="9"/>
  <c r="T37" i="9" s="1"/>
  <c r="R37" i="9"/>
  <c r="R36" i="9"/>
  <c r="S36" i="9" s="1"/>
  <c r="Q36" i="9"/>
  <c r="P36" i="9"/>
  <c r="P35" i="9"/>
  <c r="Q35" i="9" s="1"/>
  <c r="R35" i="9" s="1"/>
  <c r="S35" i="9" s="1"/>
  <c r="T34" i="9"/>
  <c r="S34" i="9"/>
  <c r="R34" i="9"/>
  <c r="T33" i="9"/>
  <c r="T32" i="9"/>
  <c r="N32" i="9"/>
  <c r="T31" i="9"/>
  <c r="T30" i="9"/>
  <c r="T29" i="9"/>
  <c r="T28" i="9"/>
  <c r="T27" i="9"/>
  <c r="T26" i="9"/>
  <c r="T25" i="9"/>
  <c r="T24" i="9"/>
  <c r="R23" i="9"/>
  <c r="S23" i="9" s="1"/>
  <c r="Q23" i="9"/>
  <c r="P23" i="9"/>
  <c r="T23" i="9" s="1"/>
  <c r="P22" i="9"/>
  <c r="Q22" i="9" s="1"/>
  <c r="R22" i="9" s="1"/>
  <c r="S22" i="9" s="1"/>
  <c r="P21" i="9"/>
  <c r="Q21" i="9" s="1"/>
  <c r="R21" i="9" s="1"/>
  <c r="S21" i="9" s="1"/>
  <c r="Q20" i="9"/>
  <c r="R20" i="9" s="1"/>
  <c r="S20" i="9" s="1"/>
  <c r="P20" i="9"/>
  <c r="T20" i="9" s="1"/>
  <c r="R19" i="9"/>
  <c r="S19" i="9" s="1"/>
  <c r="Q19" i="9"/>
  <c r="P19" i="9"/>
  <c r="M19" i="9"/>
  <c r="M64" i="9" s="1"/>
  <c r="T18" i="9"/>
  <c r="P18" i="9"/>
  <c r="T17" i="9"/>
  <c r="T16" i="9"/>
  <c r="T15" i="9"/>
  <c r="T14" i="9"/>
  <c r="T13" i="9"/>
  <c r="T12" i="9"/>
  <c r="T11" i="9"/>
  <c r="Q10" i="9"/>
  <c r="R10" i="9" s="1"/>
  <c r="S10" i="9" s="1"/>
  <c r="P10" i="9"/>
  <c r="S9" i="9"/>
  <c r="K9" i="9"/>
  <c r="K169" i="9" s="1"/>
  <c r="T8" i="9"/>
  <c r="P8" i="9"/>
  <c r="P7" i="9"/>
  <c r="K7" i="9"/>
  <c r="K167" i="9" s="1"/>
  <c r="N28" i="8"/>
  <c r="O28" i="8" s="1"/>
  <c r="P28" i="8" s="1"/>
  <c r="N27" i="8"/>
  <c r="O27" i="8" s="1"/>
  <c r="P27" i="8" s="1"/>
  <c r="O26" i="8"/>
  <c r="P26" i="8" s="1"/>
  <c r="N26" i="8"/>
  <c r="P25" i="8"/>
  <c r="O23" i="8"/>
  <c r="P23" i="8" s="1"/>
  <c r="N23" i="8"/>
  <c r="N22" i="8"/>
  <c r="O22" i="8" s="1"/>
  <c r="P22" i="8" s="1"/>
  <c r="N21" i="8"/>
  <c r="O21" i="8" s="1"/>
  <c r="P21" i="8" s="1"/>
  <c r="N20" i="8"/>
  <c r="O20" i="8" s="1"/>
  <c r="P20" i="8" s="1"/>
  <c r="O19" i="8"/>
  <c r="P19" i="8" s="1"/>
  <c r="N19" i="8"/>
  <c r="N18" i="8"/>
  <c r="O18" i="8" s="1"/>
  <c r="P18" i="8" s="1"/>
  <c r="N17" i="8"/>
  <c r="O17" i="8" s="1"/>
  <c r="P17" i="8" s="1"/>
  <c r="N16" i="8"/>
  <c r="O16" i="8" s="1"/>
  <c r="P16" i="8" s="1"/>
  <c r="O15" i="8"/>
  <c r="P15" i="8" s="1"/>
  <c r="N15" i="8"/>
  <c r="N14" i="8"/>
  <c r="O14" i="8" s="1"/>
  <c r="P14" i="8" s="1"/>
  <c r="N12" i="8"/>
  <c r="O12" i="8" s="1"/>
  <c r="P12" i="8" s="1"/>
  <c r="N11" i="8"/>
  <c r="O11" i="8" s="1"/>
  <c r="P11" i="8" s="1"/>
  <c r="O10" i="8"/>
  <c r="P10" i="8" s="1"/>
  <c r="N10" i="8"/>
  <c r="N9" i="8"/>
  <c r="O9" i="8" s="1"/>
  <c r="P9" i="8" s="1"/>
  <c r="N8" i="8"/>
  <c r="O8" i="8" s="1"/>
  <c r="P8" i="8" s="1"/>
  <c r="R76" i="7"/>
  <c r="Q76" i="7"/>
  <c r="P76" i="7"/>
  <c r="O76" i="7"/>
  <c r="N76" i="7"/>
  <c r="M76" i="7"/>
  <c r="L76" i="7"/>
  <c r="K76" i="7"/>
  <c r="J76" i="7"/>
  <c r="I76" i="7"/>
  <c r="H76" i="7"/>
  <c r="O75" i="7"/>
  <c r="M75" i="7"/>
  <c r="L75" i="7"/>
  <c r="K75" i="7"/>
  <c r="J75" i="7"/>
  <c r="I75" i="7"/>
  <c r="H75" i="7"/>
  <c r="O74" i="7"/>
  <c r="M74" i="7"/>
  <c r="K74" i="7"/>
  <c r="J74" i="7"/>
  <c r="I74" i="7"/>
  <c r="H74" i="7"/>
  <c r="H73" i="7"/>
  <c r="O72" i="7"/>
  <c r="O73" i="7" s="1"/>
  <c r="M72" i="7"/>
  <c r="M73" i="7" s="1"/>
  <c r="K72" i="7"/>
  <c r="K73" i="7" s="1"/>
  <c r="J72" i="7"/>
  <c r="J73" i="7" s="1"/>
  <c r="I72" i="7"/>
  <c r="I73" i="7" s="1"/>
  <c r="H72" i="7"/>
  <c r="P71" i="7"/>
  <c r="Q71" i="7" s="1"/>
  <c r="R71" i="7" s="1"/>
  <c r="S71" i="7" s="1"/>
  <c r="Q70" i="7"/>
  <c r="R70" i="7" s="1"/>
  <c r="S70" i="7" s="1"/>
  <c r="P70" i="7"/>
  <c r="T70" i="7" s="1"/>
  <c r="P69" i="7"/>
  <c r="Q68" i="7"/>
  <c r="R68" i="7" s="1"/>
  <c r="S68" i="7" s="1"/>
  <c r="P68" i="7"/>
  <c r="P67" i="7"/>
  <c r="Q67" i="7" s="1"/>
  <c r="R67" i="7" s="1"/>
  <c r="S67" i="7" s="1"/>
  <c r="Q66" i="7"/>
  <c r="R66" i="7" s="1"/>
  <c r="S66" i="7" s="1"/>
  <c r="P66" i="7"/>
  <c r="T66" i="7" s="1"/>
  <c r="P65" i="7"/>
  <c r="Q65" i="7" s="1"/>
  <c r="R65" i="7" s="1"/>
  <c r="S65" i="7" s="1"/>
  <c r="T64" i="7"/>
  <c r="T63" i="7"/>
  <c r="T62" i="7"/>
  <c r="T61" i="7"/>
  <c r="S60" i="7"/>
  <c r="T60" i="7" s="1"/>
  <c r="S59" i="7"/>
  <c r="T59" i="7" s="1"/>
  <c r="S58" i="7"/>
  <c r="T58" i="7" s="1"/>
  <c r="S57" i="7"/>
  <c r="T57" i="7" s="1"/>
  <c r="Q56" i="7"/>
  <c r="R56" i="7" s="1"/>
  <c r="S56" i="7" s="1"/>
  <c r="P56" i="7"/>
  <c r="T55" i="7"/>
  <c r="L55" i="7"/>
  <c r="L72" i="7" s="1"/>
  <c r="L73" i="7" s="1"/>
  <c r="P54" i="7"/>
  <c r="Q54" i="7" s="1"/>
  <c r="R54" i="7" s="1"/>
  <c r="S54" i="7" s="1"/>
  <c r="Q53" i="7"/>
  <c r="R53" i="7" s="1"/>
  <c r="S53" i="7" s="1"/>
  <c r="P53" i="7"/>
  <c r="T53" i="7" s="1"/>
  <c r="P52" i="7"/>
  <c r="Q52" i="7" s="1"/>
  <c r="R52" i="7" s="1"/>
  <c r="S52" i="7" s="1"/>
  <c r="Q51" i="7"/>
  <c r="R51" i="7" s="1"/>
  <c r="S51" i="7" s="1"/>
  <c r="S50" i="7"/>
  <c r="R50" i="7"/>
  <c r="T50" i="7" s="1"/>
  <c r="P49" i="7"/>
  <c r="Q49" i="7" s="1"/>
  <c r="R49" i="7" s="1"/>
  <c r="S49" i="7" s="1"/>
  <c r="Q48" i="7"/>
  <c r="R48" i="7" s="1"/>
  <c r="S48" i="7" s="1"/>
  <c r="P48" i="7"/>
  <c r="T47" i="7"/>
  <c r="S47" i="7"/>
  <c r="S76" i="7" s="1"/>
  <c r="P46" i="7"/>
  <c r="Q46" i="7" s="1"/>
  <c r="R46" i="7" s="1"/>
  <c r="S46" i="7" s="1"/>
  <c r="Q45" i="7"/>
  <c r="R45" i="7" s="1"/>
  <c r="S45" i="7" s="1"/>
  <c r="P45" i="7"/>
  <c r="T45" i="7" s="1"/>
  <c r="R44" i="7"/>
  <c r="S44" i="7" s="1"/>
  <c r="T44" i="7" s="1"/>
  <c r="P43" i="7"/>
  <c r="T43" i="7" s="1"/>
  <c r="S42" i="7"/>
  <c r="R42" i="7"/>
  <c r="P42" i="7"/>
  <c r="T42" i="7" s="1"/>
  <c r="S41" i="7"/>
  <c r="R41" i="7"/>
  <c r="P41" i="7"/>
  <c r="T41" i="7" s="1"/>
  <c r="Q40" i="7"/>
  <c r="R40" i="7" s="1"/>
  <c r="S40" i="7" s="1"/>
  <c r="P40" i="7"/>
  <c r="N40" i="7"/>
  <c r="N74" i="7" s="1"/>
  <c r="Q39" i="7"/>
  <c r="R39" i="7" s="1"/>
  <c r="S39" i="7" s="1"/>
  <c r="P39" i="7"/>
  <c r="P38" i="7"/>
  <c r="Q38" i="7" s="1"/>
  <c r="S37" i="7"/>
  <c r="T37" i="7" s="1"/>
  <c r="S36" i="7"/>
  <c r="P36" i="7"/>
  <c r="T36" i="7" s="1"/>
  <c r="R35" i="7"/>
  <c r="Q35" i="7"/>
  <c r="T34" i="7"/>
  <c r="Q33" i="7"/>
  <c r="R33" i="7" s="1"/>
  <c r="S33" i="7" s="1"/>
  <c r="Q32" i="7"/>
  <c r="R32" i="7" s="1"/>
  <c r="S32" i="7" s="1"/>
  <c r="P32" i="7"/>
  <c r="T32" i="7" s="1"/>
  <c r="T31" i="7"/>
  <c r="S31" i="7"/>
  <c r="S30" i="7"/>
  <c r="P30" i="7"/>
  <c r="T30" i="7" s="1"/>
  <c r="Q29" i="7"/>
  <c r="S28" i="7"/>
  <c r="T28" i="7" s="1"/>
  <c r="Q27" i="7"/>
  <c r="R27" i="7" s="1"/>
  <c r="S27" i="7" s="1"/>
  <c r="P27" i="7"/>
  <c r="T27" i="7" s="1"/>
  <c r="P26" i="7"/>
  <c r="Q25" i="7"/>
  <c r="R25" i="7" s="1"/>
  <c r="S25" i="7" s="1"/>
  <c r="P25" i="7"/>
  <c r="T25" i="7" s="1"/>
  <c r="T24" i="7"/>
  <c r="P24" i="7"/>
  <c r="P23" i="7"/>
  <c r="Q23" i="7" s="1"/>
  <c r="Q22" i="7"/>
  <c r="S21" i="7"/>
  <c r="T21" i="7" s="1"/>
  <c r="R21" i="7"/>
  <c r="R20" i="7"/>
  <c r="S20" i="7" s="1"/>
  <c r="T20" i="7" s="1"/>
  <c r="N20" i="7"/>
  <c r="T19" i="7"/>
  <c r="S19" i="7"/>
  <c r="T18" i="7"/>
  <c r="S18" i="7"/>
  <c r="T17" i="7"/>
  <c r="S17" i="7"/>
  <c r="T16" i="7"/>
  <c r="S16" i="7"/>
  <c r="T15" i="7"/>
  <c r="S15" i="7"/>
  <c r="T14" i="7"/>
  <c r="S14" i="7"/>
  <c r="T13" i="7"/>
  <c r="S13" i="7"/>
  <c r="P13" i="7"/>
  <c r="S12" i="7"/>
  <c r="T12" i="7" s="1"/>
  <c r="S11" i="7"/>
  <c r="T11" i="7" s="1"/>
  <c r="P11" i="7"/>
  <c r="P10" i="7"/>
  <c r="P72" i="7" s="1"/>
  <c r="P73" i="7" s="1"/>
  <c r="S9" i="7"/>
  <c r="T9" i="7" s="1"/>
  <c r="N8" i="7"/>
  <c r="T8" i="7" s="1"/>
  <c r="S7" i="7"/>
  <c r="T7" i="7" s="1"/>
  <c r="N7" i="7"/>
  <c r="N72" i="7" s="1"/>
  <c r="N73" i="7" s="1"/>
  <c r="D7" i="5"/>
  <c r="Q73" i="4"/>
  <c r="P73" i="4"/>
  <c r="R73" i="4" s="1"/>
  <c r="Q72" i="4"/>
  <c r="P72" i="4"/>
  <c r="R72" i="4" s="1"/>
  <c r="R70" i="4"/>
  <c r="Q70" i="4"/>
  <c r="P70" i="4"/>
  <c r="R69" i="4"/>
  <c r="Q69" i="4"/>
  <c r="P69" i="4"/>
  <c r="Q68" i="4"/>
  <c r="P68" i="4"/>
  <c r="R68" i="4" s="1"/>
  <c r="Q67" i="4"/>
  <c r="P67" i="4"/>
  <c r="R67" i="4" s="1"/>
  <c r="R66" i="4"/>
  <c r="Q66" i="4"/>
  <c r="P66" i="4"/>
  <c r="R65" i="4"/>
  <c r="Q65" i="4"/>
  <c r="P65" i="4"/>
  <c r="Q64" i="4"/>
  <c r="P64" i="4"/>
  <c r="R64" i="4" s="1"/>
  <c r="Q63" i="4"/>
  <c r="P63" i="4"/>
  <c r="R63" i="4" s="1"/>
  <c r="R62" i="4"/>
  <c r="Q62" i="4"/>
  <c r="P62" i="4"/>
  <c r="R61" i="4"/>
  <c r="Q61" i="4"/>
  <c r="P61" i="4"/>
  <c r="Q60" i="4"/>
  <c r="P60" i="4"/>
  <c r="R60" i="4" s="1"/>
  <c r="Q59" i="4"/>
  <c r="P59" i="4"/>
  <c r="R59" i="4" s="1"/>
  <c r="R58" i="4"/>
  <c r="Q58" i="4"/>
  <c r="Q57" i="4"/>
  <c r="P57" i="4"/>
  <c r="R57" i="4" s="1"/>
  <c r="R56" i="4"/>
  <c r="Q56" i="4"/>
  <c r="R55" i="4"/>
  <c r="Q55" i="4"/>
  <c r="P55" i="4"/>
  <c r="Q54" i="4"/>
  <c r="P54" i="4"/>
  <c r="R54" i="4" s="1"/>
  <c r="Q53" i="4"/>
  <c r="P53" i="4"/>
  <c r="R53" i="4" s="1"/>
  <c r="R49" i="4"/>
  <c r="Q49" i="4"/>
  <c r="P49" i="4"/>
  <c r="R48" i="4"/>
  <c r="Q48" i="4"/>
  <c r="P48" i="4"/>
  <c r="R47" i="4"/>
  <c r="Q47" i="4"/>
  <c r="R46" i="4"/>
  <c r="Q46" i="4"/>
  <c r="P46" i="4"/>
  <c r="Q42" i="4"/>
  <c r="O42" i="4"/>
  <c r="P42" i="4" s="1"/>
  <c r="R42" i="4" s="1"/>
  <c r="Q41" i="4"/>
  <c r="O41" i="4"/>
  <c r="P41" i="4" s="1"/>
  <c r="R41" i="4" s="1"/>
  <c r="Q40" i="4"/>
  <c r="O40" i="4"/>
  <c r="P40" i="4" s="1"/>
  <c r="R40" i="4" s="1"/>
  <c r="Q39" i="4"/>
  <c r="O39" i="4"/>
  <c r="P39" i="4" s="1"/>
  <c r="R39" i="4" s="1"/>
  <c r="R38" i="4"/>
  <c r="R37" i="4"/>
  <c r="Q37" i="4"/>
  <c r="Q36" i="4"/>
  <c r="P36" i="4"/>
  <c r="R36" i="4" s="1"/>
  <c r="O36" i="4"/>
  <c r="Q35" i="4"/>
  <c r="P35" i="4"/>
  <c r="R35" i="4" s="1"/>
  <c r="O35" i="4"/>
  <c r="Q34" i="4"/>
  <c r="P34" i="4"/>
  <c r="R34" i="4" s="1"/>
  <c r="O34" i="4"/>
  <c r="Q33" i="4"/>
  <c r="P33" i="4"/>
  <c r="R33" i="4" s="1"/>
  <c r="O33" i="4"/>
  <c r="Q32" i="4"/>
  <c r="P32" i="4"/>
  <c r="R32" i="4" s="1"/>
  <c r="O32" i="4"/>
  <c r="Q31" i="4"/>
  <c r="P31" i="4"/>
  <c r="R31" i="4" s="1"/>
  <c r="O31" i="4"/>
  <c r="Q30" i="4"/>
  <c r="P30" i="4"/>
  <c r="R30" i="4" s="1"/>
  <c r="O30" i="4"/>
  <c r="Q29" i="4"/>
  <c r="P29" i="4"/>
  <c r="R29" i="4" s="1"/>
  <c r="O29" i="4"/>
  <c r="Q28" i="4"/>
  <c r="P28" i="4"/>
  <c r="R28" i="4" s="1"/>
  <c r="O28" i="4"/>
  <c r="Q27" i="4"/>
  <c r="P27" i="4"/>
  <c r="R27" i="4" s="1"/>
  <c r="O27" i="4"/>
  <c r="Q25" i="4"/>
  <c r="P25" i="4"/>
  <c r="R25" i="4" s="1"/>
  <c r="O25" i="4"/>
  <c r="Q24" i="4"/>
  <c r="P24" i="4"/>
  <c r="R24" i="4" s="1"/>
  <c r="O24" i="4"/>
  <c r="Q23" i="4"/>
  <c r="P23" i="4"/>
  <c r="R23" i="4" s="1"/>
  <c r="O23" i="4"/>
  <c r="Q22" i="4"/>
  <c r="P22" i="4"/>
  <c r="R22" i="4" s="1"/>
  <c r="O22" i="4"/>
  <c r="Q21" i="4"/>
  <c r="P21" i="4"/>
  <c r="R21" i="4" s="1"/>
  <c r="O21" i="4"/>
  <c r="Q17" i="4"/>
  <c r="P17" i="4"/>
  <c r="R17" i="4" s="1"/>
  <c r="O17" i="4"/>
  <c r="Q16" i="4"/>
  <c r="P16" i="4"/>
  <c r="R16" i="4" s="1"/>
  <c r="O16" i="4"/>
  <c r="Q15" i="4"/>
  <c r="P15" i="4"/>
  <c r="R15" i="4" s="1"/>
  <c r="O15" i="4"/>
  <c r="Q14" i="4"/>
  <c r="P14" i="4"/>
  <c r="R14" i="4" s="1"/>
  <c r="O14" i="4"/>
  <c r="Q10" i="4"/>
  <c r="P10" i="4"/>
  <c r="R10" i="4" s="1"/>
  <c r="O10" i="4"/>
  <c r="Q9" i="4"/>
  <c r="P9" i="4"/>
  <c r="R9" i="4" s="1"/>
  <c r="O9" i="4"/>
  <c r="Q8" i="4"/>
  <c r="P8" i="4"/>
  <c r="R8" i="4" s="1"/>
  <c r="O8" i="4"/>
  <c r="Q7" i="4"/>
  <c r="P7" i="4"/>
  <c r="R7" i="4" s="1"/>
  <c r="O7" i="4"/>
  <c r="V32" i="3"/>
  <c r="X32" i="3" s="1"/>
  <c r="U32" i="3"/>
  <c r="T32" i="3"/>
  <c r="S32" i="3"/>
  <c r="R32" i="3"/>
  <c r="Q32" i="3"/>
  <c r="AD26" i="3"/>
  <c r="AD24" i="3"/>
  <c r="AA21" i="3"/>
  <c r="Z21" i="3"/>
  <c r="AA20" i="3"/>
  <c r="T20" i="3"/>
  <c r="R20" i="3"/>
  <c r="Q20" i="3"/>
  <c r="AC19" i="3"/>
  <c r="AC18" i="3"/>
  <c r="Z16" i="3"/>
  <c r="T16" i="3"/>
  <c r="S16" i="3"/>
  <c r="R16" i="3"/>
  <c r="AC15" i="3"/>
  <c r="AC14" i="3"/>
  <c r="AG13" i="3"/>
  <c r="AG14" i="3" s="1"/>
  <c r="Z13" i="3"/>
  <c r="AC12" i="3"/>
  <c r="Z12" i="3"/>
  <c r="T12" i="3"/>
  <c r="S12" i="3"/>
  <c r="R12" i="3"/>
  <c r="K12" i="3"/>
  <c r="AC11" i="3"/>
  <c r="Q8" i="3"/>
  <c r="H8" i="3"/>
  <c r="M32" i="2"/>
  <c r="O32" i="2" s="1"/>
  <c r="O10" i="2" s="1"/>
  <c r="L32" i="2"/>
  <c r="K31" i="2"/>
  <c r="P31" i="2" s="1"/>
  <c r="P30" i="2"/>
  <c r="K29" i="2"/>
  <c r="P29" i="2" s="1"/>
  <c r="O28" i="2"/>
  <c r="O27" i="2" s="1"/>
  <c r="N28" i="2"/>
  <c r="P28" i="2" s="1"/>
  <c r="N27" i="2"/>
  <c r="M27" i="2"/>
  <c r="L27" i="2"/>
  <c r="K27" i="2"/>
  <c r="J27" i="2"/>
  <c r="I27" i="2"/>
  <c r="H27" i="2"/>
  <c r="G27" i="2"/>
  <c r="F27" i="2"/>
  <c r="E27" i="2"/>
  <c r="D27" i="2"/>
  <c r="P27" i="2" s="1"/>
  <c r="P26" i="2"/>
  <c r="P25" i="2"/>
  <c r="O24" i="2"/>
  <c r="M24" i="2"/>
  <c r="L24" i="2"/>
  <c r="P24" i="2" s="1"/>
  <c r="O23" i="2"/>
  <c r="L23" i="2"/>
  <c r="O22" i="2"/>
  <c r="N22" i="2"/>
  <c r="M22" i="2"/>
  <c r="K22" i="2"/>
  <c r="J22" i="2"/>
  <c r="I22" i="2"/>
  <c r="H22" i="2"/>
  <c r="G22" i="2"/>
  <c r="F22" i="2"/>
  <c r="E22" i="2"/>
  <c r="D22" i="2"/>
  <c r="P21" i="2"/>
  <c r="P20" i="2"/>
  <c r="P19" i="2"/>
  <c r="J18" i="2"/>
  <c r="P18" i="2" s="1"/>
  <c r="P7" i="2" s="1"/>
  <c r="O17" i="2"/>
  <c r="L17" i="2"/>
  <c r="N17" i="2" s="1"/>
  <c r="O16" i="2"/>
  <c r="N16" i="2"/>
  <c r="M16" i="2"/>
  <c r="L16" i="2"/>
  <c r="K16" i="2"/>
  <c r="I16" i="2"/>
  <c r="H16" i="2"/>
  <c r="G16" i="2"/>
  <c r="F16" i="2"/>
  <c r="E16" i="2"/>
  <c r="D16" i="2"/>
  <c r="P15" i="2"/>
  <c r="O14" i="2"/>
  <c r="P14" i="2" s="1"/>
  <c r="P11" i="2" s="1"/>
  <c r="P13" i="2"/>
  <c r="P12" i="2"/>
  <c r="O12" i="2"/>
  <c r="L12" i="2"/>
  <c r="N12" i="2" s="1"/>
  <c r="O11" i="2"/>
  <c r="N11" i="2"/>
  <c r="M11" i="2"/>
  <c r="L11" i="2"/>
  <c r="K11" i="2"/>
  <c r="J11" i="2"/>
  <c r="I11" i="2"/>
  <c r="H11" i="2"/>
  <c r="G11" i="2"/>
  <c r="F11" i="2"/>
  <c r="E11" i="2"/>
  <c r="D11" i="2"/>
  <c r="M10" i="2"/>
  <c r="L10" i="2"/>
  <c r="K10" i="2"/>
  <c r="J10" i="2"/>
  <c r="I10" i="2"/>
  <c r="H10" i="2"/>
  <c r="G10" i="2"/>
  <c r="F10" i="2"/>
  <c r="E10" i="2"/>
  <c r="D10" i="2"/>
  <c r="O9" i="2"/>
  <c r="N9" i="2"/>
  <c r="M9" i="2"/>
  <c r="L9" i="2"/>
  <c r="K9" i="2"/>
  <c r="J9" i="2"/>
  <c r="J5" i="2" s="1"/>
  <c r="I9" i="2"/>
  <c r="H9" i="2"/>
  <c r="G9" i="2"/>
  <c r="F9" i="2"/>
  <c r="F5" i="2" s="1"/>
  <c r="E9" i="2"/>
  <c r="D9" i="2"/>
  <c r="P9" i="2" s="1"/>
  <c r="O8" i="2"/>
  <c r="O5" i="2" s="1"/>
  <c r="N8" i="2"/>
  <c r="M8" i="2"/>
  <c r="K8" i="2"/>
  <c r="K5" i="2" s="1"/>
  <c r="J8" i="2"/>
  <c r="I8" i="2"/>
  <c r="H8" i="2"/>
  <c r="G8" i="2"/>
  <c r="G5" i="2" s="1"/>
  <c r="F8" i="2"/>
  <c r="E8" i="2"/>
  <c r="D8" i="2"/>
  <c r="O7" i="2"/>
  <c r="N7" i="2"/>
  <c r="M7" i="2"/>
  <c r="L7" i="2"/>
  <c r="K7" i="2"/>
  <c r="J7" i="2"/>
  <c r="O6" i="2"/>
  <c r="N6" i="2"/>
  <c r="M5" i="2"/>
  <c r="I5" i="2"/>
  <c r="H5" i="2"/>
  <c r="E5" i="2"/>
  <c r="D5" i="2"/>
  <c r="T26" i="1"/>
  <c r="Q25" i="1"/>
  <c r="K25" i="1"/>
  <c r="K10" i="1" s="1"/>
  <c r="K5" i="1" s="1"/>
  <c r="J25" i="1"/>
  <c r="I25" i="1"/>
  <c r="T25" i="1" s="1"/>
  <c r="O24" i="1"/>
  <c r="O7" i="1" s="1"/>
  <c r="O5" i="1" s="1"/>
  <c r="M24" i="1"/>
  <c r="T24" i="1" s="1"/>
  <c r="R23" i="1"/>
  <c r="S23" i="1" s="1"/>
  <c r="P23" i="1"/>
  <c r="S22" i="1"/>
  <c r="R22" i="1"/>
  <c r="Q22" i="1"/>
  <c r="P22" i="1"/>
  <c r="N22" i="1"/>
  <c r="M22" i="1"/>
  <c r="L22" i="1"/>
  <c r="J22" i="1"/>
  <c r="I22" i="1"/>
  <c r="H22" i="1"/>
  <c r="P21" i="1"/>
  <c r="P19" i="1" s="1"/>
  <c r="R20" i="1"/>
  <c r="S20" i="1" s="1"/>
  <c r="P20" i="1"/>
  <c r="T20" i="1" s="1"/>
  <c r="R19" i="1"/>
  <c r="S19" i="1" s="1"/>
  <c r="Q19" i="1"/>
  <c r="O19" i="1"/>
  <c r="N19" i="1"/>
  <c r="M19" i="1"/>
  <c r="L19" i="1"/>
  <c r="K19" i="1"/>
  <c r="J19" i="1"/>
  <c r="I19" i="1"/>
  <c r="H19" i="1"/>
  <c r="T19" i="1" s="1"/>
  <c r="T18" i="1"/>
  <c r="S17" i="1"/>
  <c r="R17" i="1"/>
  <c r="O17" i="1"/>
  <c r="P17" i="1" s="1"/>
  <c r="R16" i="1"/>
  <c r="S16" i="1" s="1"/>
  <c r="T16" i="1" s="1"/>
  <c r="S15" i="1"/>
  <c r="R15" i="1"/>
  <c r="Q15" i="1"/>
  <c r="P15" i="1"/>
  <c r="O15" i="1"/>
  <c r="N15" i="1"/>
  <c r="M15" i="1"/>
  <c r="L15" i="1"/>
  <c r="K15" i="1"/>
  <c r="J15" i="1"/>
  <c r="I15" i="1"/>
  <c r="H15" i="1"/>
  <c r="T15" i="1" s="1"/>
  <c r="R14" i="1"/>
  <c r="S14" i="1" s="1"/>
  <c r="T14" i="1" s="1"/>
  <c r="T13" i="1"/>
  <c r="R12" i="1"/>
  <c r="S12" i="1" s="1"/>
  <c r="T12" i="1" s="1"/>
  <c r="P12" i="1"/>
  <c r="S11" i="1"/>
  <c r="R11" i="1"/>
  <c r="Q11" i="1"/>
  <c r="P11" i="1"/>
  <c r="O11" i="1"/>
  <c r="N11" i="1"/>
  <c r="M11" i="1"/>
  <c r="L11" i="1"/>
  <c r="K11" i="1"/>
  <c r="J11" i="1"/>
  <c r="I11" i="1"/>
  <c r="H11" i="1"/>
  <c r="T11" i="1" s="1"/>
  <c r="S10" i="1"/>
  <c r="R10" i="1"/>
  <c r="Q10" i="1"/>
  <c r="P10" i="1"/>
  <c r="O10" i="1"/>
  <c r="N10" i="1"/>
  <c r="M10" i="1"/>
  <c r="L10" i="1"/>
  <c r="J10" i="1"/>
  <c r="I10" i="1"/>
  <c r="H10" i="1"/>
  <c r="T10" i="1" s="1"/>
  <c r="S9" i="1"/>
  <c r="R9" i="1"/>
  <c r="R5" i="1" s="1"/>
  <c r="Q9" i="1"/>
  <c r="P9" i="1"/>
  <c r="O9" i="1"/>
  <c r="N9" i="1"/>
  <c r="N5" i="1" s="1"/>
  <c r="M9" i="1"/>
  <c r="L9" i="1"/>
  <c r="K9" i="1"/>
  <c r="J9" i="1"/>
  <c r="J5" i="1" s="1"/>
  <c r="I9" i="1"/>
  <c r="H9" i="1"/>
  <c r="T9" i="1" s="1"/>
  <c r="S8" i="1"/>
  <c r="S5" i="1" s="1"/>
  <c r="R8" i="1"/>
  <c r="P8" i="1"/>
  <c r="M8" i="1"/>
  <c r="T8" i="1" s="1"/>
  <c r="S7" i="1"/>
  <c r="R7" i="1"/>
  <c r="Q7" i="1"/>
  <c r="P7" i="1"/>
  <c r="P5" i="1" s="1"/>
  <c r="N7" i="1"/>
  <c r="M7" i="1"/>
  <c r="L7" i="1"/>
  <c r="L5" i="1" s="1"/>
  <c r="K7" i="1"/>
  <c r="J7" i="1"/>
  <c r="I7" i="1"/>
  <c r="H7" i="1"/>
  <c r="H5" i="1" s="1"/>
  <c r="R6" i="1"/>
  <c r="S6" i="1" s="1"/>
  <c r="P6" i="1"/>
  <c r="Q5" i="1"/>
  <c r="M5" i="1"/>
  <c r="I5" i="1"/>
  <c r="S11" i="12" l="1"/>
  <c r="T11" i="12"/>
  <c r="R15" i="12"/>
  <c r="Q65" i="12"/>
  <c r="T46" i="12"/>
  <c r="T62" i="12"/>
  <c r="T27" i="12"/>
  <c r="M66" i="12"/>
  <c r="T34" i="12"/>
  <c r="K63" i="12"/>
  <c r="K66" i="12"/>
  <c r="S22" i="12"/>
  <c r="T22" i="12" s="1"/>
  <c r="S32" i="12"/>
  <c r="T32" i="12"/>
  <c r="R38" i="12"/>
  <c r="S38" i="12" s="1"/>
  <c r="T38" i="12"/>
  <c r="T44" i="12"/>
  <c r="N66" i="12"/>
  <c r="T59" i="12"/>
  <c r="Q62" i="12"/>
  <c r="R13" i="12"/>
  <c r="S13" i="12" s="1"/>
  <c r="Q18" i="12"/>
  <c r="R18" i="12" s="1"/>
  <c r="S18" i="12" s="1"/>
  <c r="R25" i="12"/>
  <c r="S25" i="12" s="1"/>
  <c r="S27" i="12"/>
  <c r="Q41" i="12"/>
  <c r="R41" i="12" s="1"/>
  <c r="S41" i="12" s="1"/>
  <c r="R46" i="12"/>
  <c r="S46" i="12" s="1"/>
  <c r="R55" i="12"/>
  <c r="S55" i="12" s="1"/>
  <c r="I63" i="12"/>
  <c r="P65" i="12"/>
  <c r="P66" i="12" s="1"/>
  <c r="T7" i="12"/>
  <c r="S12" i="12"/>
  <c r="T16" i="12"/>
  <c r="T20" i="12"/>
  <c r="S24" i="12"/>
  <c r="T24" i="12" s="1"/>
  <c r="L29" i="12"/>
  <c r="L52" i="12" s="1"/>
  <c r="L63" i="12" s="1"/>
  <c r="S33" i="12"/>
  <c r="T33" i="12" s="1"/>
  <c r="Q34" i="12"/>
  <c r="R34" i="12" s="1"/>
  <c r="S34" i="12" s="1"/>
  <c r="T35" i="12"/>
  <c r="S44" i="12"/>
  <c r="T48" i="12"/>
  <c r="J52" i="12"/>
  <c r="T61" i="12"/>
  <c r="H66" i="12"/>
  <c r="T18" i="12"/>
  <c r="R26" i="12"/>
  <c r="S26" i="12" s="1"/>
  <c r="R45" i="12"/>
  <c r="S45" i="12" s="1"/>
  <c r="R47" i="12"/>
  <c r="S47" i="12" s="1"/>
  <c r="T8" i="12"/>
  <c r="T54" i="12"/>
  <c r="O16" i="11"/>
  <c r="O20" i="11"/>
  <c r="O24" i="11"/>
  <c r="O12" i="11"/>
  <c r="O15" i="11"/>
  <c r="O19" i="11"/>
  <c r="O23" i="11"/>
  <c r="O28" i="11"/>
  <c r="T30" i="10"/>
  <c r="Q23" i="10"/>
  <c r="Q35" i="10" s="1"/>
  <c r="T33" i="10"/>
  <c r="R33" i="10"/>
  <c r="S33" i="10" s="1"/>
  <c r="T38" i="10"/>
  <c r="T11" i="10"/>
  <c r="T13" i="10"/>
  <c r="T19" i="10"/>
  <c r="T26" i="10"/>
  <c r="T25" i="10"/>
  <c r="R9" i="10"/>
  <c r="R10" i="10"/>
  <c r="S10" i="10" s="1"/>
  <c r="Q11" i="10"/>
  <c r="R11" i="10" s="1"/>
  <c r="S11" i="10" s="1"/>
  <c r="R15" i="10"/>
  <c r="S16" i="10"/>
  <c r="T16" i="10" s="1"/>
  <c r="Q29" i="10"/>
  <c r="R29" i="10" s="1"/>
  <c r="S29" i="10" s="1"/>
  <c r="K36" i="10"/>
  <c r="T12" i="10"/>
  <c r="T14" i="10"/>
  <c r="T22" i="10"/>
  <c r="T27" i="10"/>
  <c r="T31" i="10"/>
  <c r="P36" i="10"/>
  <c r="H23" i="10"/>
  <c r="P23" i="10"/>
  <c r="P35" i="10" s="1"/>
  <c r="T10" i="9"/>
  <c r="T36" i="9"/>
  <c r="T40" i="9"/>
  <c r="S41" i="9"/>
  <c r="T41" i="9" s="1"/>
  <c r="T21" i="9"/>
  <c r="P167" i="9"/>
  <c r="T106" i="9"/>
  <c r="N166" i="9"/>
  <c r="P64" i="9"/>
  <c r="T22" i="9"/>
  <c r="T35" i="9"/>
  <c r="S50" i="9"/>
  <c r="T50" i="9" s="1"/>
  <c r="S55" i="9"/>
  <c r="T55" i="9" s="1"/>
  <c r="K64" i="9"/>
  <c r="T78" i="9"/>
  <c r="R80" i="9"/>
  <c r="S80" i="9" s="1"/>
  <c r="S169" i="9" s="1"/>
  <c r="T85" i="9"/>
  <c r="M167" i="9"/>
  <c r="R109" i="9"/>
  <c r="S109" i="9" s="1"/>
  <c r="T132" i="9"/>
  <c r="Q165" i="9"/>
  <c r="T136" i="9"/>
  <c r="T140" i="9"/>
  <c r="O166" i="9"/>
  <c r="L167" i="9"/>
  <c r="T167" i="9" s="1"/>
  <c r="R127" i="9"/>
  <c r="S127" i="9" s="1"/>
  <c r="R112" i="9"/>
  <c r="S112" i="9" s="1"/>
  <c r="Q7" i="9"/>
  <c r="P169" i="9"/>
  <c r="T9" i="9"/>
  <c r="T19" i="9"/>
  <c r="S45" i="9"/>
  <c r="T45" i="9" s="1"/>
  <c r="T48" i="9"/>
  <c r="T51" i="9"/>
  <c r="T57" i="9"/>
  <c r="T59" i="9"/>
  <c r="T77" i="9"/>
  <c r="R81" i="9"/>
  <c r="S81" i="9" s="1"/>
  <c r="R110" i="9"/>
  <c r="S110" i="9" s="1"/>
  <c r="P127" i="9"/>
  <c r="P166" i="9" s="1"/>
  <c r="K166" i="9"/>
  <c r="T108" i="9"/>
  <c r="N64" i="9"/>
  <c r="N167" i="9"/>
  <c r="T67" i="9"/>
  <c r="T73" i="9"/>
  <c r="R93" i="9"/>
  <c r="S93" i="9" s="1"/>
  <c r="T99" i="9"/>
  <c r="R105" i="9"/>
  <c r="S105" i="9" s="1"/>
  <c r="R111" i="9"/>
  <c r="S111" i="9" s="1"/>
  <c r="N127" i="9"/>
  <c r="N170" i="9"/>
  <c r="T170" i="9" s="1"/>
  <c r="T123" i="9"/>
  <c r="R172" i="9"/>
  <c r="T137" i="9"/>
  <c r="S137" i="9"/>
  <c r="S172" i="9" s="1"/>
  <c r="L166" i="9"/>
  <c r="T147" i="9"/>
  <c r="T152" i="9"/>
  <c r="T83" i="9"/>
  <c r="T87" i="9"/>
  <c r="T101" i="9"/>
  <c r="T115" i="9"/>
  <c r="T124" i="9"/>
  <c r="I127" i="9"/>
  <c r="I166" i="9" s="1"/>
  <c r="M127" i="9"/>
  <c r="M166" i="9" s="1"/>
  <c r="T141" i="9"/>
  <c r="T145" i="9"/>
  <c r="T149" i="9"/>
  <c r="T153" i="9"/>
  <c r="R170" i="9"/>
  <c r="S170" i="9" s="1"/>
  <c r="O173" i="9"/>
  <c r="T84" i="9"/>
  <c r="T88" i="9"/>
  <c r="S108" i="9"/>
  <c r="T121" i="9"/>
  <c r="T125" i="9"/>
  <c r="T135" i="9"/>
  <c r="H165" i="9"/>
  <c r="Q175" i="9"/>
  <c r="T79" i="9"/>
  <c r="T120" i="9"/>
  <c r="T48" i="7"/>
  <c r="T56" i="7"/>
  <c r="T76" i="7"/>
  <c r="R38" i="7"/>
  <c r="S38" i="7" s="1"/>
  <c r="T23" i="7"/>
  <c r="R23" i="7"/>
  <c r="S23" i="7" s="1"/>
  <c r="T39" i="7"/>
  <c r="T68" i="7"/>
  <c r="T54" i="7"/>
  <c r="T65" i="7"/>
  <c r="N75" i="7"/>
  <c r="Q10" i="7"/>
  <c r="R22" i="7"/>
  <c r="S22" i="7" s="1"/>
  <c r="Q26" i="7"/>
  <c r="R29" i="7"/>
  <c r="S29" i="7" s="1"/>
  <c r="T33" i="7"/>
  <c r="S35" i="7"/>
  <c r="T35" i="7" s="1"/>
  <c r="T51" i="7"/>
  <c r="Q69" i="7"/>
  <c r="R69" i="7" s="1"/>
  <c r="S69" i="7" s="1"/>
  <c r="L74" i="7"/>
  <c r="P74" i="7"/>
  <c r="T46" i="7"/>
  <c r="T49" i="7"/>
  <c r="T52" i="7"/>
  <c r="T67" i="7"/>
  <c r="T71" i="7"/>
  <c r="P75" i="7"/>
  <c r="T40" i="7"/>
  <c r="AI20" i="3"/>
  <c r="AI16" i="3"/>
  <c r="AH12" i="3"/>
  <c r="AH20" i="3"/>
  <c r="AH16" i="3"/>
  <c r="AI12" i="3"/>
  <c r="W32" i="3"/>
  <c r="Y32" i="3" s="1"/>
  <c r="L8" i="2"/>
  <c r="L5" i="2" s="1"/>
  <c r="P17" i="2"/>
  <c r="N23" i="2"/>
  <c r="P23" i="2" s="1"/>
  <c r="N32" i="2"/>
  <c r="N10" i="2" s="1"/>
  <c r="N5" i="2" s="1"/>
  <c r="J16" i="2"/>
  <c r="P16" i="2" s="1"/>
  <c r="L22" i="2"/>
  <c r="P22" i="2" s="1"/>
  <c r="T5" i="1"/>
  <c r="T6" i="1"/>
  <c r="T23" i="1"/>
  <c r="T17" i="1"/>
  <c r="T21" i="1"/>
  <c r="K22" i="1"/>
  <c r="T22" i="1" s="1"/>
  <c r="O22" i="1"/>
  <c r="T7" i="1"/>
  <c r="T45" i="12" l="1"/>
  <c r="T41" i="12"/>
  <c r="T47" i="12"/>
  <c r="T13" i="12"/>
  <c r="T12" i="12"/>
  <c r="L66" i="12"/>
  <c r="R65" i="12"/>
  <c r="S15" i="12"/>
  <c r="R52" i="12"/>
  <c r="R63" i="12" s="1"/>
  <c r="Q52" i="12"/>
  <c r="Q63" i="12" s="1"/>
  <c r="Q66" i="12" s="1"/>
  <c r="T55" i="12"/>
  <c r="T29" i="12"/>
  <c r="T26" i="12"/>
  <c r="J63" i="12"/>
  <c r="J66" i="12"/>
  <c r="T25" i="12"/>
  <c r="T10" i="10"/>
  <c r="T29" i="10"/>
  <c r="S9" i="10"/>
  <c r="R23" i="10"/>
  <c r="R35" i="10" s="1"/>
  <c r="Q37" i="10"/>
  <c r="S15" i="10"/>
  <c r="S36" i="10" s="1"/>
  <c r="T36" i="10" s="1"/>
  <c r="R36" i="10"/>
  <c r="H35" i="10"/>
  <c r="S166" i="9"/>
  <c r="S173" i="9"/>
  <c r="T111" i="9"/>
  <c r="T110" i="9"/>
  <c r="T112" i="9"/>
  <c r="T127" i="9"/>
  <c r="T93" i="9"/>
  <c r="Q64" i="9"/>
  <c r="R7" i="9"/>
  <c r="S7" i="9" s="1"/>
  <c r="T7" i="9"/>
  <c r="P173" i="9"/>
  <c r="R165" i="9"/>
  <c r="S165" i="9" s="1"/>
  <c r="Q166" i="9"/>
  <c r="H166" i="9"/>
  <c r="T165" i="9"/>
  <c r="T105" i="9"/>
  <c r="T81" i="9"/>
  <c r="T109" i="9"/>
  <c r="T80" i="9"/>
  <c r="T169" i="9" s="1"/>
  <c r="W128" i="9"/>
  <c r="X128" i="9" s="1"/>
  <c r="R169" i="9"/>
  <c r="T38" i="7"/>
  <c r="Q74" i="7"/>
  <c r="R26" i="7"/>
  <c r="Q75" i="7"/>
  <c r="R10" i="7"/>
  <c r="Q72" i="7"/>
  <c r="T29" i="7"/>
  <c r="T22" i="7"/>
  <c r="T69" i="7"/>
  <c r="P8" i="2"/>
  <c r="P32" i="2"/>
  <c r="P10" i="2" s="1"/>
  <c r="S65" i="12" l="1"/>
  <c r="T65" i="12" s="1"/>
  <c r="T15" i="12"/>
  <c r="R66" i="12"/>
  <c r="S52" i="12"/>
  <c r="R37" i="10"/>
  <c r="S37" i="10" s="1"/>
  <c r="T37" i="10"/>
  <c r="T35" i="10"/>
  <c r="T23" i="10"/>
  <c r="S23" i="10"/>
  <c r="S35" i="10" s="1"/>
  <c r="T9" i="10"/>
  <c r="T15" i="10"/>
  <c r="R166" i="9"/>
  <c r="T166" i="9" s="1"/>
  <c r="R173" i="9"/>
  <c r="R64" i="9"/>
  <c r="S64" i="9" s="1"/>
  <c r="W130" i="9"/>
  <c r="R74" i="7"/>
  <c r="S26" i="7"/>
  <c r="Q73" i="7"/>
  <c r="S10" i="7"/>
  <c r="R75" i="7"/>
  <c r="R72" i="7"/>
  <c r="R73" i="7" s="1"/>
  <c r="P5" i="2"/>
  <c r="S63" i="12" l="1"/>
  <c r="T52" i="12"/>
  <c r="T64" i="9"/>
  <c r="S74" i="7"/>
  <c r="T74" i="7" s="1"/>
  <c r="T26" i="7"/>
  <c r="S72" i="7"/>
  <c r="S73" i="7" s="1"/>
  <c r="T73" i="7" s="1"/>
  <c r="S75" i="7"/>
  <c r="T10" i="7"/>
  <c r="T75" i="7" s="1"/>
  <c r="S66" i="12" l="1"/>
  <c r="T66" i="12" s="1"/>
  <c r="T63" i="12"/>
  <c r="T72" i="7"/>
</calcChain>
</file>

<file path=xl/sharedStrings.xml><?xml version="1.0" encoding="utf-8"?>
<sst xmlns="http://schemas.openxmlformats.org/spreadsheetml/2006/main" count="2145" uniqueCount="676">
  <si>
    <t>Приложение №1
к муниципальной программе 
«Система образования города Дивногорска»</t>
  </si>
  <si>
    <t>Информация о распределении планируемых расходов по отдельным мероприятиям программ, подпрограммам государственной программы</t>
  </si>
  <si>
    <t>Статус (муниципальная программа, подпрограмма)</t>
  </si>
  <si>
    <t>Наименование программы, подпрограммы</t>
  </si>
  <si>
    <t>Наименование РБС</t>
  </si>
  <si>
    <t>Код бюджетной классификации</t>
  </si>
  <si>
    <t>Расходы (тыс. руб.), годы</t>
  </si>
  <si>
    <t>РБС</t>
  </si>
  <si>
    <t>Рз Пр</t>
  </si>
  <si>
    <t>ЦСР</t>
  </si>
  <si>
    <t>ВР</t>
  </si>
  <si>
    <t>Итого на период</t>
  </si>
  <si>
    <t>Муниципальная программа</t>
  </si>
  <si>
    <t>«Система образования 
города Дивногорска »</t>
  </si>
  <si>
    <t>всего расходное обязательство по программе</t>
  </si>
  <si>
    <t>х</t>
  </si>
  <si>
    <t>в том числе по РБС:</t>
  </si>
  <si>
    <t>Отдел образования администрации города Дивногорска</t>
  </si>
  <si>
    <t>975</t>
  </si>
  <si>
    <t>Администрация города Дивногорска</t>
  </si>
  <si>
    <t>906</t>
  </si>
  <si>
    <t>МСКУ "МЦБ"</t>
  </si>
  <si>
    <t>976</t>
  </si>
  <si>
    <t>Подпрограмма 1</t>
  </si>
  <si>
    <t>«Дошкольное образование детей»</t>
  </si>
  <si>
    <t>Управление социальной защиты администрации города Дивногорска</t>
  </si>
  <si>
    <t>948</t>
  </si>
  <si>
    <t>Подпрограмма 2</t>
  </si>
  <si>
    <t>«Общее и дополнительное образование детей»</t>
  </si>
  <si>
    <t>Подпрограмма 3</t>
  </si>
  <si>
    <t>«Обеспечение безопасного качественного отдыха и оздоровления детей в период каникул»</t>
  </si>
  <si>
    <t>Подпрограмма 4</t>
  </si>
  <si>
    <t>«Обеспечение реализации муниципальной программы и прочие мероприятия в области образования»</t>
  </si>
  <si>
    <t>Начальник отдела образования администрации города Дивногорска</t>
  </si>
  <si>
    <t>Г.В. Кабацура</t>
  </si>
  <si>
    <t>Приложение №2
к муниципальной программе 
«Система образования города Дивногорска»</t>
  </si>
  <si>
    <t>Приложение № 2
к муниципальной программе 
«Система образования 
города Дивногорска »</t>
  </si>
  <si>
    <t>Информация о ресурсном обеспечении и прогнозной оценке расходов на реализацию целей муниципальной программы 
с учетом источников финансирования, в том числе средств краевого бюджета и бюджета муниципального образования город Дивногорск</t>
  </si>
  <si>
    <t>Статус</t>
  </si>
  <si>
    <t>Наименование муниципальной программы, подпрограммы муниципальной программы</t>
  </si>
  <si>
    <t>Ответственный исполнитель, соисполнители</t>
  </si>
  <si>
    <t>Оценка расходов 
(тыс. руб.), годы</t>
  </si>
  <si>
    <t>2014 год</t>
  </si>
  <si>
    <t>2015 год</t>
  </si>
  <si>
    <t>2016 год</t>
  </si>
  <si>
    <t>2017 год</t>
  </si>
  <si>
    <t>2018 год</t>
  </si>
  <si>
    <t>2019 год</t>
  </si>
  <si>
    <t>2020 год</t>
  </si>
  <si>
    <t>2021 год</t>
  </si>
  <si>
    <t>2022 год</t>
  </si>
  <si>
    <t>2023 год</t>
  </si>
  <si>
    <t>2024 год</t>
  </si>
  <si>
    <t>2025 год</t>
  </si>
  <si>
    <t>Всего</t>
  </si>
  <si>
    <t>в том числе:</t>
  </si>
  <si>
    <t xml:space="preserve">федеральный бюджет </t>
  </si>
  <si>
    <t xml:space="preserve">краевой бюджет </t>
  </si>
  <si>
    <t>муниципальный бюджет</t>
  </si>
  <si>
    <t>внебюджетные источники</t>
  </si>
  <si>
    <t xml:space="preserve">Подпрограмма 1 </t>
  </si>
  <si>
    <t xml:space="preserve">       краевой бюджет </t>
  </si>
  <si>
    <t xml:space="preserve">      муниципальный бюджет</t>
  </si>
  <si>
    <t xml:space="preserve">      внебюджетные источники</t>
  </si>
  <si>
    <t xml:space="preserve">Подпрограмма 2 </t>
  </si>
  <si>
    <t xml:space="preserve">     краевой бюджет </t>
  </si>
  <si>
    <t xml:space="preserve">    муниципальный бюджет</t>
  </si>
  <si>
    <t xml:space="preserve">    внебюджетные источники</t>
  </si>
  <si>
    <t>Приложение №3
к муниципальной программе 
«Система образования города Дивногорска»</t>
  </si>
  <si>
    <t>Прогноз сводных показателей муниципальных заданий на оказание муниципальных услуг муниципальными учреждениями 
по муниципальной программе «Система образования города Дивногорска»</t>
  </si>
  <si>
    <t>Наименование услуги, показателя объема услуги (работы)</t>
  </si>
  <si>
    <t>Значение показателя объема услуги (работы)</t>
  </si>
  <si>
    <t>Расходы муниципального бюджета на оказание (выполнение) муниципальной услуги (работы), тыс. руб.</t>
  </si>
  <si>
    <t>Наименование услуги и ее содержание: реализация основных общеобразовательных программ дошкольного образования</t>
  </si>
  <si>
    <t>Показатель объема услуги:</t>
  </si>
  <si>
    <t>Количество детей от 2-х мес. до 7 лет</t>
  </si>
  <si>
    <t>Подпрограмма 1. «Дошкольное образование детей»</t>
  </si>
  <si>
    <t>Обеспечение деятельности (оказание услуг) подведомственных учреждений</t>
  </si>
  <si>
    <t>Раздел 0701</t>
  </si>
  <si>
    <t>Наименование услуги и ее содержание: реализация основных общеобразовательных программ начального общего образования</t>
  </si>
  <si>
    <t>Количество детей от 6 лет 6 мес. до 10 лет</t>
  </si>
  <si>
    <t>Подпрограмма 2. «Общее и дополнительное образование детей»</t>
  </si>
  <si>
    <t>Раздел 0702+1003</t>
  </si>
  <si>
    <t>Наименование услуги и ее содержание: реализация основных общеобразовательных программ основного общего образования</t>
  </si>
  <si>
    <t>Количество детей с 11 до 15 лет</t>
  </si>
  <si>
    <t>Наименование услуги и ее содержание: реализация основных общеобразовательных программ среднего общего образования</t>
  </si>
  <si>
    <t>Количество детей с 16 до 18 лет</t>
  </si>
  <si>
    <t>Количество детей с 6 лет 6 мес. до 18 лет</t>
  </si>
  <si>
    <t>Подпрограмма  3 «Обеспечение безопасного качественного отдыха и оздоровления детей в период каникул»</t>
  </si>
  <si>
    <t xml:space="preserve">ПП3 </t>
  </si>
  <si>
    <t>Наименование услуги и ее содержание:  реализация дополнительных общеобразовательных общеразвивающих программ</t>
  </si>
  <si>
    <t>Количество детей с 6 лет до 18 лет</t>
  </si>
  <si>
    <t>ПП2   Раздел 0703</t>
  </si>
  <si>
    <t>Наименование услуги и ее содержание: Услуга по организации предоставления психого-медико-педагогической помощи детям с ограниченными возможностями здоровья</t>
  </si>
  <si>
    <t>Количество детей от 0 до 18 лет</t>
  </si>
  <si>
    <t xml:space="preserve">Приложение № 1 
к Паспорту муниципальной программы  
 «Система образования города Дивногорска» </t>
  </si>
  <si>
    <t>Перечень целевых показателей и показателей результативности программы с расшифровкой плановых значений по годам ее реализации</t>
  </si>
  <si>
    <t>№ п/п</t>
  </si>
  <si>
    <t xml:space="preserve">Цели, задачи, показатели </t>
  </si>
  <si>
    <t>Единица измерения</t>
  </si>
  <si>
    <t xml:space="preserve">Вес показателя </t>
  </si>
  <si>
    <t>Источник информации</t>
  </si>
  <si>
    <t>2011 год</t>
  </si>
  <si>
    <t>Цель: обеспечение высокого качества образования, соответствующего потребностям граждан и перспективным задачам развития экономики Красноярского края, реализация мероприятий, направленных на развитие семейных форм воспитания детей-сирот, детей, оставшихся без попечения родителей, отдыха и оздоровления детей в период каникул</t>
  </si>
  <si>
    <t>Удельный вес численности населения в возрасте 5-18 лет, охваченного образованием, в общей численности населения в возрасте 5-18 лет по МО г. Дивногорск</t>
  </si>
  <si>
    <t>%</t>
  </si>
  <si>
    <t>Х</t>
  </si>
  <si>
    <t>Гос. стат. отчетность</t>
  </si>
  <si>
    <t>2</t>
  </si>
  <si>
    <t>Отношение численности детей в возрасте 3–7 лет, которым предоставлена возможность получать услуги дошкольного образования, к общей численности детей в возрасте от 3 до 7 лет, проживающих на территории г. Дивногорска (с учетом групп кратковременного пребывания)</t>
  </si>
  <si>
    <t>Ведомственная отчетность</t>
  </si>
  <si>
    <t>3</t>
  </si>
  <si>
    <t>Доля выпускников муниципальных общеобразовательных организаций г. Дивногорска, получивших аттестат о среднем образовании, в общей численности выпускников муниципальных общеобразовательных организаций</t>
  </si>
  <si>
    <t>4</t>
  </si>
  <si>
    <t>Доля муниципальных общеобразовательных организаций, соответствующих современным требованиям обучения, в общем количестве муниципальных общеобразовательных организаций г. Дивногорска</t>
  </si>
  <si>
    <t>Задача 1. создание в системе дошкольного образования равных возможностей для современного качественного образования, позитивной социализации и оздоровления детей</t>
  </si>
  <si>
    <t>Подпрограмма 1 «Дошкольное образование  детей»</t>
  </si>
  <si>
    <t>Обеспечить доступность дошкольного образования, соответствующего единому стандарту качества дошкольного образования</t>
  </si>
  <si>
    <t>1.1.1</t>
  </si>
  <si>
    <t>Обеспеченность детей дошкольного возраста местами в дошкольных образовательных учреждениях (количество мест на 1000 детей)</t>
  </si>
  <si>
    <t>ведомственная отчетность</t>
  </si>
  <si>
    <t>1.1.2</t>
  </si>
  <si>
    <t>Доля детей в возрасте от трех до семи лет, получающих дошкольную образовательную услугу и (или) услугу по их содержанию в организациях различной организационно-правовой формы и формы собственности, в общей численности детей от трех до семи лет</t>
  </si>
  <si>
    <t>1.1.3</t>
  </si>
  <si>
    <t>Удельный вес воспитанников дошкольных образовательных организаций г. Дивногорска, расположенных на территории города Дивногорска,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города Дивногорска</t>
  </si>
  <si>
    <t>_</t>
  </si>
  <si>
    <t>1.1.4</t>
  </si>
  <si>
    <t xml:space="preserve">Удельный вес дошкольных образовательных организаций, в которых оценка их деятельности, а также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дошкольных образовательных организаций </t>
  </si>
  <si>
    <t>25(3)</t>
  </si>
  <si>
    <t>80(10)</t>
  </si>
  <si>
    <t>Задача 2. обеспечение потребности населения в качественном доступном общем и дополнительном образовании.</t>
  </si>
  <si>
    <t xml:space="preserve">Подпрограмма 2 «Общее и дополнительное образование детей» </t>
  </si>
  <si>
    <t>Обеспечить создание  в общеобразовательных учреждениях города Дивногорска безопасных и комфортных условий, соответствующих требованиям надзорных органов</t>
  </si>
  <si>
    <t>2.1.1</t>
  </si>
  <si>
    <t>Доля муниципальных образовательных учреждений, в которых произведен выборочный капитальный ремонт зданий и сооружений</t>
  </si>
  <si>
    <t>-</t>
  </si>
  <si>
    <t>2.1.2</t>
  </si>
  <si>
    <t>Доля детей, охваченных горячим питанием в школах</t>
  </si>
  <si>
    <t>2.1.3</t>
  </si>
  <si>
    <t>Число дней пропусков занятий по болезни в расчете на одного ученика</t>
  </si>
  <si>
    <t>ед.</t>
  </si>
  <si>
    <t>2.1.4</t>
  </si>
  <si>
    <t>Отсутствие детского травматизма в урочное время</t>
  </si>
  <si>
    <t>2.1.5</t>
  </si>
  <si>
    <t>Увеличение числа автобусов, соответствующих требованиям безопасной и комфортной перевозки детей</t>
  </si>
  <si>
    <t>Создать условия для получения детьми качественного образования в общеобразовательных учреждениях, обеспечить мониторинг качества</t>
  </si>
  <si>
    <t>2.2.1</t>
  </si>
  <si>
    <t>Доля средних и основных общеобразовательных школ, в которых действуют управляющие советы</t>
  </si>
  <si>
    <t>2.2.2</t>
  </si>
  <si>
    <t>Доля педагогов, прошедших курсовую подготовку (не менее 1 раза в 5 лет), в том числе по ФГОС нового поколения</t>
  </si>
  <si>
    <t>2.2.3</t>
  </si>
  <si>
    <t>Доля учителей государственных (муниципальных) общеобразовательных учреждений, имеющих стаж педагогической работы до 5 лет, в общей численности учителей государственных (муниципальных) общеобразовательных учреждений</t>
  </si>
  <si>
    <t>2.2.4</t>
  </si>
  <si>
    <t>Доля обучающихся в государственных (муниципальных) общеобразовательных организациях, занимающихся во вторую (третью) смену, в общей численности обучающихся в государственных (муниципальных)  общеобразовательных организаций</t>
  </si>
  <si>
    <t>2.2.5</t>
  </si>
  <si>
    <t xml:space="preserve">Доля  обучающихся общеобразовательных учреждений, охваченных психолого-педагогической и медико-социальной помощью, от общей численности  обучающихся общеобразовательных учреждений </t>
  </si>
  <si>
    <t>2.2.6</t>
  </si>
  <si>
    <t>Доля выпускников муниципальных общеобразовательных организаций, не сдавших единый государственный экзамен, в общей численности выпускников государственных (муниципальных) общеобразовательных организаций и не получивших аттестат о среднем образовании</t>
  </si>
  <si>
    <t>2.2.7</t>
  </si>
  <si>
    <t>Доля выпускников 9-х классов, успешно прошедших государственную итоговую аттестацию,  осуществляемую внешними экзаменационными комиссиями по русскому языку</t>
  </si>
  <si>
    <t>2.2.8</t>
  </si>
  <si>
    <t>Доля выпускников 9-х классов, успешно прошедших государственную итоговую аттестацию,  осуществляемую внешними экзаменационными комиссиями по математике</t>
  </si>
  <si>
    <t>2.2.9</t>
  </si>
  <si>
    <t>Доля учащихся, принимающих участие в итоговых контрольных работах по русскому языку и математике в 4-х классах</t>
  </si>
  <si>
    <t>2.2.10</t>
  </si>
  <si>
    <t>Доля детей с ограниченными возможностями здоровья и детей-инвалидов, получающихся качественное общее образование с использованием современного оборудования ( в том числе с использованием дистанционных образовательных технологий), от общей численности детей с ограниченными возможностями здоровья и детей-инвалидов школьного возраста</t>
  </si>
  <si>
    <t>Создать условия для получения детьми качественного дополнительного образования, выявления и поддержки  одаренных детей</t>
  </si>
  <si>
    <t>2.3.1</t>
  </si>
  <si>
    <t>Удельный вес численности детей, получающих услуги дополнительного образования, в общей численности детей в возрасте 5–18 лет</t>
  </si>
  <si>
    <t>2.3.2</t>
  </si>
  <si>
    <r>
      <t>Доля школьников, привлеченных к участию в спортивно-массовых мероприятиях</t>
    </r>
    <r>
      <rPr>
        <i/>
        <sz val="11"/>
        <rFont val="Times New Roman"/>
        <family val="1"/>
        <charset val="204"/>
      </rPr>
      <t xml:space="preserve"> </t>
    </r>
  </si>
  <si>
    <t>2.3.3</t>
  </si>
  <si>
    <t>Доля школьников 5-11 классов, включенных в учебно-исследовательскую, проектную деятельность к общему числу этой категории</t>
  </si>
  <si>
    <t>Содействовать выявлению и поддержке одаренных детей</t>
  </si>
  <si>
    <t>2.4.1</t>
  </si>
  <si>
    <t xml:space="preserve">Удельный вес численности обучающихся по программам общего образования, участвующих в олимпиадах и конкурсах различного уровня, 
в общей численности обучающихся по программам общего образования
</t>
  </si>
  <si>
    <t>Задача 3. Создание равных возможностей и условий для современного качественного образования, позитивной социализации и оздоровления детей в период каникул</t>
  </si>
  <si>
    <t>Подпрограмма 3 «Обеспечение безопасного качественного отдыха и оздоровления детей в период каникул»</t>
  </si>
  <si>
    <t>Обеспечить безопасный, комфортный и качественный отдых в летний период</t>
  </si>
  <si>
    <t>3.1.1</t>
  </si>
  <si>
    <t>Доля оздоровленных детей школьного возраста</t>
  </si>
  <si>
    <t xml:space="preserve">Обеспечить организацию и проведение мероприятий для детей и молодежи по направлениям (нравственно-патриотическое, спортивно-оздоровительное, социальное) </t>
  </si>
  <si>
    <t>3.2.1</t>
  </si>
  <si>
    <t>Доля детей школьного возраста, вовлеченных в городские массовые мероприятия от общего числа детей школьного возраста</t>
  </si>
  <si>
    <t>3.2.2</t>
  </si>
  <si>
    <t>Доля детей (6-14 лет), состоящих на учете в ОУУПи ДН, вовлеченных в городские массовые мероприятия, от общего числа детей состоящих на учете в ОУУПи ДН, данного возраста</t>
  </si>
  <si>
    <t>Задача 4. Создание условий для эффективного управления отраслью</t>
  </si>
  <si>
    <t>Подпрограмма 4 «Обеспечение реализации муниципальной программы и прочие мероприятия в области образования»</t>
  </si>
  <si>
    <t>Организация деятельности отдела образования, учреждений, обеспечивающих деятельность образовательных учреждений, направленной на эффективное управление отраслью</t>
  </si>
  <si>
    <t>4.1.1</t>
  </si>
  <si>
    <t>Фактические расходы на материальное обеспечение образовательного процесса на одного учащегося</t>
  </si>
  <si>
    <t>руб</t>
  </si>
  <si>
    <t>4.1.2.</t>
  </si>
  <si>
    <t>Среднемесячная номинальная начисленная заработная плата учителей муниципальных общеобразовательных учреждений</t>
  </si>
  <si>
    <t>4.1.3.</t>
  </si>
  <si>
    <t>Среднемесячная номинальная начисленная заработная плата прочего персонала (административно-управленческого, учебно-вспомогательного, младшего обслуживающего персонала, а также, педагогических работников, не осуществляющих учебный процесс)</t>
  </si>
  <si>
    <t>4.1.4.</t>
  </si>
  <si>
    <t>Средняя наполняемость классов в городских школах</t>
  </si>
  <si>
    <t>человек</t>
  </si>
  <si>
    <t>4.1.5.</t>
  </si>
  <si>
    <t>Средняя наполняемость классов в сельской школе</t>
  </si>
  <si>
    <t>4.1.6.</t>
  </si>
  <si>
    <t>Соотношение численности учителей (среднегодовой) государственных (муниципальных) общеобразовательных учреждений и численности прочего персонала (среднегодовой) (административно-управленческого, учебно-вспомогательного, младшего обслуживающего персонала, а также педагогических работников, не осуществляющих учебный процесс)</t>
  </si>
  <si>
    <t>доля</t>
  </si>
  <si>
    <t>4.1.7.</t>
  </si>
  <si>
    <t>Количество проведенных в соответствии с законодательством процедур проверок</t>
  </si>
  <si>
    <t>4.1.8.</t>
  </si>
  <si>
    <r>
      <t xml:space="preserve">Своевременное доведение  распорядителем лимитов бюджетных обязательств до подведомственных учреждений, предусмотренных решением о бюджете за отчетный год 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  <r>
      <rPr>
        <sz val="12"/>
        <rFont val="Times New Roman"/>
        <family val="1"/>
        <charset val="204"/>
      </rPr>
      <t xml:space="preserve">
</t>
    </r>
  </si>
  <si>
    <t>балл</t>
  </si>
  <si>
    <t>Финансовое управление администрации города Дивногорска</t>
  </si>
  <si>
    <t>4.1.9.</t>
  </si>
  <si>
    <r>
      <t xml:space="preserve">Соблюдение сроков предоставления  бюджетной отчетности </t>
    </r>
    <r>
      <rPr>
        <i/>
        <sz val="12"/>
        <rFont val="Times New Roman"/>
        <family val="1"/>
        <charset val="204"/>
      </rPr>
      <t>(МСКУ "МЦБ")</t>
    </r>
  </si>
  <si>
    <t>4.1.10.</t>
  </si>
  <si>
    <r>
      <t xml:space="preserve">Своевременность  утверждения муниципальных заданий  подведомственным  распорядителю учреждениям на текущий финансовый год и плановый период в срок, установленный в Положении о порядке и условиях формирования муниципального задания в отношении муниципальных учреждений, финансового обеспечения и оценки выполнения муниципального задания, утвержденного Постановлением администрации города Дивногорска от 24.12.2012 N 264п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</si>
  <si>
    <t>4.1.11.</t>
  </si>
  <si>
    <r>
      <t xml:space="preserve">Своевременность утверждения планов финансово-хозяйственной деятельности подведомственных распорядителю учреждений на текущий финансовый год и плановый период в соответствии со  сроками, утвержденными органами исполнительной власти Красноярского края, осуществляющими функции и полномочия учредителя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</si>
  <si>
    <t>4.1.12.</t>
  </si>
  <si>
    <t xml:space="preserve">Своевременность предоставления уточненного фрагмента реестра расходных обязательств распорядителя (МСКУ "МЦБ")
</t>
  </si>
  <si>
    <t>4.1.13.</t>
  </si>
  <si>
    <t>Уровень исполнения расходов распорядителя за счет средств местного бюджета (без учета межбюджетных трансфертов)(Отдел образования администрации города, МСКУ "МЦБ")</t>
  </si>
  <si>
    <t>4.1.14.</t>
  </si>
  <si>
    <t>Доля исполненных бюджетных ассигнований, предусмотренных в программном виде (Отдел образования администрации города, МСКУ "МЦБ")</t>
  </si>
  <si>
    <t>4.1.15</t>
  </si>
  <si>
    <t>Качество порядка составления, утверждения и ведения бюдетных смет и ПФХД обслуживаемых учреждений (МСКУ "МЦБ")</t>
  </si>
  <si>
    <t>4.1.16.</t>
  </si>
  <si>
    <t>Оценка качества планирования бюджетных ассигнований (МСКУ "МЦБ")</t>
  </si>
  <si>
    <t>4.1.17.</t>
  </si>
  <si>
    <t>Наличие у распорядителя и обслуживаемых учреждений просроченной кредиторской задолженности и нереальной к взысканию дебиторской задолженности (МСКУ "МЦБ")</t>
  </si>
  <si>
    <t>4.1.18.</t>
  </si>
  <si>
    <t>Отсутствие нарушений бюджетного законадательства, выявленных в ходе проведения внешних контрольных мероприятий в отчетном финансовом году (Отдел образования администрации города, МСКУ "МЦБ")</t>
  </si>
  <si>
    <t>Обеспечить реализацию мероприятий, направленных на развитие семейных форм воспитания детей-сирот и детей, оставшихся без попечения родителей</t>
  </si>
  <si>
    <t>4.2.1.</t>
  </si>
  <si>
    <t>Численность детей, оставшихся без попечения родителей, переданных на воспитание в замещающие семьи (опека, приемная семья, усыновление), в том числе   переданных на воспитание в семьи посторонних граждан.</t>
  </si>
  <si>
    <t>чел.</t>
  </si>
  <si>
    <t>4.2.2.</t>
  </si>
  <si>
    <t>Количество детей-сирот и детей, оставшихся без попечения родителей, лиц из числа детей-сирот и детей, оставшихся без попечения родителей, не имеющих закрепленного жилого помещения, в том числе поставленных на учет на получение жилого помещения в министерстве образования и науки Красноярского края, включая лиц в возрасте от 23 лет и старше, обеспеченных жилыми помещениями за отчетный год</t>
  </si>
  <si>
    <t>127(6)</t>
  </si>
  <si>
    <t>125(5)</t>
  </si>
  <si>
    <t>123(7)</t>
  </si>
  <si>
    <t>85(57)</t>
  </si>
  <si>
    <t>87(59)</t>
  </si>
  <si>
    <t>87(55)</t>
  </si>
  <si>
    <t>89(57)</t>
  </si>
  <si>
    <t>Г.В.Кабацура</t>
  </si>
  <si>
    <t xml:space="preserve">Приложение № 2
к Паспорту муниципальной программы  
 «Система образования города Дивногорска» </t>
  </si>
  <si>
    <t>Значение целевых показателей на долгосрочный период</t>
  </si>
  <si>
    <t>Цели, целевые показатели</t>
  </si>
  <si>
    <t>2010 год</t>
  </si>
  <si>
    <t>2012 год</t>
  </si>
  <si>
    <t>плановый период</t>
  </si>
  <si>
    <t>долгосрочный период</t>
  </si>
  <si>
    <t>2013 год</t>
  </si>
  <si>
    <t>2026 год</t>
  </si>
  <si>
    <t>2027 год</t>
  </si>
  <si>
    <t>2028 год</t>
  </si>
  <si>
    <t>2029 год</t>
  </si>
  <si>
    <t>2030 год</t>
  </si>
  <si>
    <t>ю</t>
  </si>
  <si>
    <t>Приложение № 1 
к Паспорту  подпрограммы 1 «Дошкольное образование  детей»</t>
  </si>
  <si>
    <t>Перечень целевых индикаторов подпрограммы</t>
  </si>
  <si>
    <t>Цель, целевые индикаторы</t>
  </si>
  <si>
    <t>Цель: предоставление общедоступного и качественного дошкольного образования для  детей с разными образовательными потребностями</t>
  </si>
  <si>
    <t>Задача № 1 Обеспечить доступность дошкольного образования, соответствующего федеральным государственным стандартам</t>
  </si>
  <si>
    <t>1.1</t>
  </si>
  <si>
    <t>1.2</t>
  </si>
  <si>
    <t>1.3</t>
  </si>
  <si>
    <t>Удельный вес воспитанников дошкольных образовательных организаций, расположенных на территории города Дивногорска,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города Дивногорска</t>
  </si>
  <si>
    <t>1.4</t>
  </si>
  <si>
    <t>Удельный вес дошкольных образовательных организаций, в которых оценка их деятельности, а также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дошкольных образовательных организаций</t>
  </si>
  <si>
    <t>Приложение № 2
к Паспорту  подпрограммы 1 «Дошкольное образование детей»</t>
  </si>
  <si>
    <t>Перечень мероприятий подпрограммы с указанием объема средств на их реализацию и ожидаемых результатов</t>
  </si>
  <si>
    <t xml:space="preserve">Цели, задачи, мероприятия </t>
  </si>
  <si>
    <t>Ожидаемый результат от реализации подпрограммного мероприятия 
(в натуральном выражении)</t>
  </si>
  <si>
    <t>Цель: создание в системе дошкольного образования равных возможностей для современного качественного образования, позитивной социализации и оздоровления детей</t>
  </si>
  <si>
    <t>Задача № 1 Обеспечить доступность дошкольного образования, соответствующего единому стандарту качества дошкольного образования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</si>
  <si>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</t>
  </si>
  <si>
    <t>отдел образования администрации города Дивногорска</t>
  </si>
  <si>
    <t>0701</t>
  </si>
  <si>
    <t>0110080610</t>
  </si>
  <si>
    <t>611</t>
  </si>
  <si>
    <t>1344 детей получат услуги дошкольного образования</t>
  </si>
  <si>
    <t>612</t>
  </si>
  <si>
    <t>621</t>
  </si>
  <si>
    <t>622</t>
  </si>
  <si>
    <t>870</t>
  </si>
  <si>
    <t>011008061Р</t>
  </si>
  <si>
    <t>011008061Т</t>
  </si>
  <si>
    <t>011008061Z</t>
  </si>
  <si>
    <t>0110080710</t>
  </si>
  <si>
    <t>01100L0271</t>
  </si>
  <si>
    <t>01100S8400</t>
  </si>
  <si>
    <t>01100S3980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</si>
  <si>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учреждениях(кр.б.)</t>
  </si>
  <si>
    <t xml:space="preserve">975 </t>
  </si>
  <si>
    <t>0110073980</t>
  </si>
  <si>
    <t>0110075880</t>
  </si>
  <si>
    <t>0110074080</t>
  </si>
  <si>
    <t>011001047А, 0110010230, 0110010490</t>
  </si>
  <si>
    <t>011001047Б, 0110010230, 0110010490</t>
  </si>
  <si>
    <t>0110010340,0110010350</t>
  </si>
  <si>
    <t>0110078400</t>
  </si>
  <si>
    <t>0110077440</t>
  </si>
  <si>
    <t>011022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</si>
  <si>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 (род.плата, внебюджет)</t>
  </si>
  <si>
    <t>Приведение муниципальных образовательных учреждений в соответствие требованиям правил пожарной безопасности, строительным нормам и правилам, санитарным нормам и правилам (кр.бюджет)</t>
  </si>
  <si>
    <t>0117746</t>
  </si>
  <si>
    <t>0117744</t>
  </si>
  <si>
    <t>Расходы муниципальных учреждений за содействие развитию налогового потенциал</t>
  </si>
  <si>
    <t>0110077450</t>
  </si>
  <si>
    <t>Приведение муниципальных образовательных учреждений в соответствие требованиям правил пожарной безопасности, строительным нормам и правилам, санитарным нормам и правилам (местный бюджет)</t>
  </si>
  <si>
    <t>0118746</t>
  </si>
  <si>
    <t xml:space="preserve">Финансирование (возмещение) расходов на выплаты воспитателям в муниципальных образовательных учреждениях, реализующих основную общеобразовательную программу дошкольного образования детей, </t>
  </si>
  <si>
    <t>01100S5580</t>
  </si>
  <si>
    <t>Выплата компенсации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 детей</t>
  </si>
  <si>
    <t>1004</t>
  </si>
  <si>
    <t>0110075560</t>
  </si>
  <si>
    <t>320</t>
  </si>
  <si>
    <t xml:space="preserve">Компенсацию части родительской платы получат в 2017 году 742 человека
</t>
  </si>
  <si>
    <t>244</t>
  </si>
  <si>
    <t>0110089560</t>
  </si>
  <si>
    <t>1.1.5</t>
  </si>
  <si>
    <t xml:space="preserve">Обеспечение содержания в муниципальных дошкольных образовательных учреждениях (группах) детей без взимания родительской платы </t>
  </si>
  <si>
    <t>0110075540</t>
  </si>
  <si>
    <t xml:space="preserve">В ДОУ города содержится  54 детей без взимания родительской платы </t>
  </si>
  <si>
    <t>011008530</t>
  </si>
  <si>
    <t>краевой бюджет</t>
  </si>
  <si>
    <t>мест.бюджет</t>
  </si>
  <si>
    <t>1.1.6</t>
  </si>
  <si>
    <t>Создание дополнительных мест в системе дошкольного образования детей (кр.б.)</t>
  </si>
  <si>
    <t>0117421</t>
  </si>
  <si>
    <t>Введено  135 дополнительных  мест для детей дошкольного возраста, в том  числе по годам:    
2014 - 84 мест;   
2015 - 51 мест</t>
  </si>
  <si>
    <t>0115059</t>
  </si>
  <si>
    <t>1.1.7</t>
  </si>
  <si>
    <t>Создание дополнительных мест в системе дошкольного образования детей (м.б.)</t>
  </si>
  <si>
    <t>0118421</t>
  </si>
  <si>
    <t>1.1.8</t>
  </si>
  <si>
    <t xml:space="preserve">Участие в краевом конкурсе "Детские сады-детям". Получение субсидии  бюджету муниципального образования г.Дивногорск на денежное поощрение детским садам-победителям конкурса </t>
  </si>
  <si>
    <t>0118099</t>
  </si>
  <si>
    <t>Участие в конкурсе на получение денежных премий лучшими воспитателями образовательных учреждений, реализующих основную общеобразовательную программу дошкольного образования,  денежных премий лучшим детским садам, денежных премий лучшим педагогическим коллективам детских садов.</t>
  </si>
  <si>
    <t>1.1.9</t>
  </si>
  <si>
    <t xml:space="preserve">Проведение мероприятий для дошкольников различной направленности (интеллектуальной, творческой, спортивной) </t>
  </si>
  <si>
    <t>0707</t>
  </si>
  <si>
    <t>0118811</t>
  </si>
  <si>
    <t xml:space="preserve">Ежегодно на муниципальном уровне проводится 3 мероприятия, с общим числом участников не менее 1000 человек </t>
  </si>
  <si>
    <t>Итого по задаче 1</t>
  </si>
  <si>
    <t>Всего по подпрограмме, в том числе:</t>
  </si>
  <si>
    <t>местный бюджет</t>
  </si>
  <si>
    <t>внебюджет</t>
  </si>
  <si>
    <t>Приложение № 1 
к Паспорту  подпрограммы 2 «Общее и дополнительное образование детей»</t>
  </si>
  <si>
    <t>Цель:обеспечение потребности населения в качественном доступном общем и дополнительном образовании.</t>
  </si>
  <si>
    <t xml:space="preserve">Задача № 1 Создать безопасные и комфортные условия, соответствующие требованиям надзорных органов </t>
  </si>
  <si>
    <t>Доля образовательных учреждений, в которых произведен выборочный капитальный ремонт зданий и сооружений</t>
  </si>
  <si>
    <t>1.5</t>
  </si>
  <si>
    <t>Задача № 2. Создать условия для получения детьми качественного образования в общеобразовательных учреждениях, соответствующих требованиям ФГОС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</si>
  <si>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</si>
  <si>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</si>
  <si>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</si>
  <si>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</si>
  <si>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</si>
  <si>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</si>
  <si>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</si>
  <si>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</si>
  <si>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</si>
  <si>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</si>
  <si>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Задача № 3. Создать условия для выявления, поддержки и развития  одаренных детей, детей с ограниченными возможностями здоровья</t>
  </si>
  <si>
    <t>3.1</t>
  </si>
  <si>
    <t>3.2</t>
  </si>
  <si>
    <r>
      <t>Доля школьников, привлеченных к участию в спортивных и культурно-массовых мероприятиях</t>
    </r>
    <r>
      <rPr>
        <i/>
        <sz val="11"/>
        <rFont val="Times New Roman"/>
        <family val="1"/>
        <charset val="204"/>
      </rPr>
      <t xml:space="preserve"> </t>
    </r>
    <r>
      <rPr>
        <i/>
        <sz val="11"/>
        <color indexed="10"/>
        <rFont val="Times New Roman"/>
        <family val="1"/>
        <charset val="204"/>
      </rPr>
      <t/>
    </r>
  </si>
  <si>
    <t>3.3</t>
  </si>
  <si>
    <t>Удельный вес численности обучающихся по программам общего образования, участвующих в олимпиадах и конкурсах различного уровня, в общей численности обучающихся по программам общего образования</t>
  </si>
  <si>
    <t>3.4</t>
  </si>
  <si>
    <t>3.5</t>
  </si>
  <si>
    <t>Доля детей в возрасте от 5 до 18 лет, имеющих право на получение дополнительного образования в рамках системы персонифицированного финансирования в общей численности детей в возрасте от 5 до 18 лет</t>
  </si>
  <si>
    <t>Задача № 4. Обеспечить реализацию федеральных проектов в рамках Нацпроекта "Образование"</t>
  </si>
  <si>
    <t>4.1</t>
  </si>
  <si>
    <t>Разработка и внедрение рабочих программ воспитания обучающихся в общеобразовательных организациях.</t>
  </si>
  <si>
    <t>4.2</t>
  </si>
  <si>
    <t>Увеличение численности детей и молодежи в возрасте до 35 лет, вовлеченных в социально активную дечтельность через увеличение охвата патриотическими проектами</t>
  </si>
  <si>
    <t>4.3</t>
  </si>
  <si>
    <t>Создание условий для развития системы межпоколенческого взаимодействия и обеспечения преемственности поколений, поддержки общественных инициатив и проектов, направленных на гражданское и патриотическое воспитание детей и молодежи</t>
  </si>
  <si>
    <t>Приложение № 2
к Паспорту  подпрограммы 2 «Общее и дополнительное образование детей»</t>
  </si>
  <si>
    <t>Цель: обеспечение потребности населения в качественном доступном общем и дополнительном образовании.</t>
  </si>
  <si>
    <t xml:space="preserve">Задача № 1 Создать безопасные и комфортные условия, соответствующие требованиям надзорных органов, в общеобразовательных учреждениях города Дивногорска. </t>
  </si>
  <si>
    <t>Приведение муниципальных общеобразовательных учреждений в соответствие требованиям правил пожарной безопасности, строительным нормам и правилам, санитарным нормам и правилам (кр.б.)</t>
  </si>
  <si>
    <t>0702</t>
  </si>
  <si>
    <t>0127744</t>
  </si>
  <si>
    <t>612,622,244</t>
  </si>
  <si>
    <t>87,5% общеобразовательных организаций соответствуют требованиям действующего законодательства (ППБ 01-03, СанПиН, СНиП), от общего числа школ</t>
  </si>
  <si>
    <t>Подготовка образовательных учреждений к новому учебному году</t>
  </si>
  <si>
    <t>0120080610</t>
  </si>
  <si>
    <r>
      <rPr>
        <sz val="12"/>
        <color indexed="8"/>
        <rFont val="Times New Roman"/>
        <family val="1"/>
        <charset val="204"/>
      </rPr>
      <t xml:space="preserve">6 общеобразовательных учреждений и 1 учреждение </t>
    </r>
    <r>
      <rPr>
        <sz val="12"/>
        <rFont val="Times New Roman"/>
        <family val="1"/>
        <charset val="204"/>
      </rPr>
      <t>дополнительного образования приняты муниципальной комиссией к началу нового учебного года</t>
    </r>
  </si>
  <si>
    <t>0120075630</t>
  </si>
  <si>
    <t>0120078450</t>
  </si>
  <si>
    <t>01200S8450</t>
  </si>
  <si>
    <t>01200S5630</t>
  </si>
  <si>
    <t>0120074300</t>
  </si>
  <si>
    <t>01200S4300</t>
  </si>
  <si>
    <t>012E274300</t>
  </si>
  <si>
    <t>0120078400</t>
  </si>
  <si>
    <t>622,612</t>
  </si>
  <si>
    <t>01200S8400</t>
  </si>
  <si>
    <t>0120088130</t>
  </si>
  <si>
    <t>Расходы на проведение мероприятий по обеспечению антитеррористической защищенности объектов образования в рамках подпрограммы "Общее и дополнительное образование детей" муниципальной программы города Дивногорска "Система образования города Дивногорска"</t>
  </si>
  <si>
    <t>0120075590</t>
  </si>
  <si>
    <t>01200S5590</t>
  </si>
  <si>
    <t>Обеспечение питанием детей из малообеспеченных семей, обучающихся в муниципальных общеобразовательных учреждениях</t>
  </si>
  <si>
    <t>1003</t>
  </si>
  <si>
    <t>0120075660</t>
  </si>
  <si>
    <t>100% детей из малообеспеченных семей, обучающихся в муниципальных общеобразовательных учреждениях опеспечены горячим питанием</t>
  </si>
  <si>
    <t>Организация и обеспечение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 1-4 классы</t>
  </si>
  <si>
    <t>01200L3040</t>
  </si>
  <si>
    <t>01200L3040 СОФ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</si>
  <si>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</si>
  <si>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0120074420</t>
  </si>
  <si>
    <t>0120089150</t>
  </si>
  <si>
    <t>0120008530</t>
  </si>
  <si>
    <t>Обеспечение питанием детей из семей лиц, принимающих участие в специальной военной операции</t>
  </si>
  <si>
    <t>Cубсидия на 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</si>
  <si>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0125027</t>
  </si>
  <si>
    <t>Софинансирование субсидии на 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</si>
  <si>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0128027</t>
  </si>
  <si>
    <t>2.1.6</t>
  </si>
  <si>
    <t>Расходы на проведение мероприятий, направленных на обеспечение безопасного участия детей в дорожном движении</t>
  </si>
  <si>
    <t>012R373980</t>
  </si>
  <si>
    <t>612,622</t>
  </si>
  <si>
    <t>конкурсная основа участия</t>
  </si>
  <si>
    <t>2.1.7</t>
  </si>
  <si>
    <t>Софинансирование расходов на проведение мероприятий, направленных на обеспечение безопасного участия детей в дорожном движении</t>
  </si>
  <si>
    <t>01200S3980</t>
  </si>
  <si>
    <t>2.1.8</t>
  </si>
  <si>
    <t>расходы на внедрение целевой модели образовательной среды (краевой бюджет)</t>
  </si>
  <si>
    <t>012E452100</t>
  </si>
  <si>
    <t>240</t>
  </si>
  <si>
    <t>012E452100 СОФ</t>
  </si>
  <si>
    <t>2.1.9</t>
  </si>
  <si>
    <t>расходы на внедрение целевой модели образовательной среды (местный бюджет)</t>
  </si>
  <si>
    <t>2.1.10</t>
  </si>
  <si>
    <t>расходы на создание (обовление) МБТ для реализации основных и дополнитедльных прогграмм цифрового и гуманитарного профилей (краевой бюджет)</t>
  </si>
  <si>
    <t xml:space="preserve">    0120015980</t>
  </si>
  <si>
    <t>2.1.11</t>
  </si>
  <si>
    <t>расходы на создание (обовление) МБТ для реализации основных и дополнитедльных прогграмм цифрового и гуманитарного профилей (местный бюджет)</t>
  </si>
  <si>
    <t xml:space="preserve">    0120S15980 СОФ</t>
  </si>
  <si>
    <t>012Е151690</t>
  </si>
  <si>
    <t>012Е151690 СОФ</t>
  </si>
  <si>
    <t>2.1.12</t>
  </si>
  <si>
    <t>2.1.13</t>
  </si>
  <si>
    <t>Расходы на  устройство плоскостных спортивных сооружений (МБОУ СОШ № 9 -2020 год),  2021 год- (МБОУ СОШ № 2,5)</t>
  </si>
  <si>
    <t>0120074200</t>
  </si>
  <si>
    <t>Софинансирование расходов на  устройство плоскостных спортивных сооружений (МБОУ СОШ № 9), 2021 год (МБОУ СОШ № 2,5)</t>
  </si>
  <si>
    <t>01200S4200</t>
  </si>
  <si>
    <t>2.1.14</t>
  </si>
  <si>
    <t>Расходы, направленные на развитие и повышение качества работы муниципальных учреждений, предоставление новых муниципальных услуг, повышение их качества(замена оконных заполнений в обеденном зале МБОУ СОШ № 5) краевой бюджет</t>
  </si>
  <si>
    <t>2.1.15</t>
  </si>
  <si>
    <t>Софинансирование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(замена оконных заполнений в обеденном зале МБОУ СОШ № 5) местный бюджет</t>
  </si>
  <si>
    <t>Софинансирование расходов на устройство быстровозводимых крытых конструкций в рамках подпрограммы "Общее и дополнительное образование детей" муниципальной программы города Дивногорска "Система образования города Дивногорска"</t>
  </si>
  <si>
    <t>01200S4040</t>
  </si>
  <si>
    <t>2.1.17</t>
  </si>
  <si>
    <t xml:space="preserve">Расходы муниципальных учреждений за содействие развитию налогового потенциала </t>
  </si>
  <si>
    <t>0120077450</t>
  </si>
  <si>
    <t>Задача № 2. Создать условия для получения детьми качественного образования в общеобразовательных учреждениях, обеспечить мониторинг качества.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</si>
  <si>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(местный бюджет)</t>
  </si>
  <si>
    <t>ежегодно более 3000  человек получат услуги общего образования</t>
  </si>
  <si>
    <t>012008061Т</t>
  </si>
  <si>
    <t>012008061Z</t>
  </si>
  <si>
    <t>0120080710</t>
  </si>
  <si>
    <t>0128072</t>
  </si>
  <si>
    <t>0128081</t>
  </si>
  <si>
    <t>01200S031P</t>
  </si>
  <si>
    <t>01200S031M</t>
  </si>
  <si>
    <t>0128082</t>
  </si>
  <si>
    <t xml:space="preserve"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</si>
  <si>
    <t>0120053030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</si>
  <si>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(краевой бюджет)</t>
  </si>
  <si>
    <t>0120075640</t>
  </si>
  <si>
    <t>110,               300</t>
  </si>
  <si>
    <t>0703</t>
  </si>
  <si>
    <t>0121022</t>
  </si>
  <si>
    <t>0120074090</t>
  </si>
  <si>
    <t>0120010340, 012001047А, 012001038А, 0120010490</t>
  </si>
  <si>
    <t>0120010340, 012001047Б, 012001038А, 0120010490</t>
  </si>
  <si>
    <t>0120010230</t>
  </si>
  <si>
    <t>0120010350</t>
  </si>
  <si>
    <t>012001047К</t>
  </si>
  <si>
    <t>Расходы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</si>
  <si>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012ЕВ51790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</si>
  <si>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(внебюджет)</t>
  </si>
  <si>
    <r>
      <t xml:space="preserve">Реализация приоритетного национального проекта «Образование»  в части выплаты вознаграждения за классное руководство в муниципальных общеобразовательных учреждениях, </t>
    </r>
    <r>
      <rPr>
        <sz val="12"/>
        <color indexed="60"/>
        <rFont val="Times New Roman"/>
        <family val="1"/>
        <charset val="204"/>
      </rPr>
      <t>икключить</t>
    </r>
  </si>
  <si>
    <r>
      <rPr>
        <sz val="12"/>
        <color indexed="10"/>
        <rFont val="Times New Roman"/>
        <family val="1"/>
        <charset val="204"/>
      </rPr>
      <t>Разве классным руководителям не платят из краевого бюджета???</t>
    </r>
    <r>
      <rPr>
        <sz val="12"/>
        <rFont val="Times New Roman"/>
        <family val="1"/>
        <charset val="204"/>
      </rPr>
      <t xml:space="preserve"> 120 человек ежегодно будут получать ежемесячное вознаграждение за счет средств краевого бюджета</t>
    </r>
  </si>
  <si>
    <t>Обеспечение функционирования и  развития учреждения, обеспечивающего  организацию повышения квалификации кадров, мониторинга качества образования, организацию проведения государственной итоговой аттестации (МКУ ГИМЦ)</t>
  </si>
  <si>
    <t>0709</t>
  </si>
  <si>
    <r>
      <rPr>
        <sz val="12"/>
        <color indexed="10"/>
        <rFont val="Times New Roman"/>
        <family val="1"/>
        <charset val="204"/>
      </rPr>
      <t>Финансирование ГИМЦ прописано в 4й программе, думаю, здесь надо исключить эту позицию</t>
    </r>
    <r>
      <rPr>
        <sz val="12"/>
        <rFont val="Times New Roman"/>
        <family val="1"/>
        <charset val="204"/>
      </rPr>
      <t>. ежегодно 250 педагогов повышают квалификацию, проведены 20 мероприятий с численностью участников 1600 человек, функционируют не менее 15 различных форм педагогических объединений; обеспечение мониторинга качества образования, а также проведение государственной итоговой аттестации выпускников общеобразовательных учреждений в установленные сроки</t>
    </r>
  </si>
  <si>
    <t>Организация муниципальных профессиональных конкурсов  (премии призерам и победителям)</t>
  </si>
  <si>
    <t>Из сметы ГИМЦ (360 вид расхода)</t>
  </si>
  <si>
    <t>Распространение современных организационно-правовых моделей, обеспечивающих успешную социализацию детей с ограниченными возможностями здоровья и детей-инвалидов</t>
  </si>
  <si>
    <t>Ожидаются федеральные средства</t>
  </si>
  <si>
    <t>Софинансирование ФЦПРО</t>
  </si>
  <si>
    <t>ФМО 5210212</t>
  </si>
  <si>
    <t>строки необходимо оставить, т.к. на эти мероприятия были заявки на получение средств</t>
  </si>
  <si>
    <r>
      <t xml:space="preserve">Организация и проведение учебно-полевых сборов для учащихся (мальчиков) 10-х классов школ города Дивногорска </t>
    </r>
    <r>
      <rPr>
        <sz val="12"/>
        <color indexed="10"/>
        <rFont val="Times New Roman"/>
        <family val="1"/>
        <charset val="204"/>
      </rPr>
      <t xml:space="preserve"> (ТАНЯ! НАДО ПЕРЕНЕСТИ ДЕНЬГИ по 2014 и 2015 годам в раздел по реализации общеобраз. Программ. А пункт этот вообще убрать</t>
    </r>
  </si>
  <si>
    <t>Отдел образования администрации города Дивногорска (МКУ О(С)ОШ №1)</t>
  </si>
  <si>
    <t>0128061</t>
  </si>
  <si>
    <t>деньги перенесла в финансирование расходов, необходимых на реализацию основных общеобразовательных программ муниципальными общеобразовательными учреждениями (местный бюджет)</t>
  </si>
  <si>
    <t xml:space="preserve">Оборудование военно-спортивной полосы препятствий </t>
  </si>
  <si>
    <r>
      <rPr>
        <sz val="12"/>
        <color indexed="10"/>
        <rFont val="Times New Roman"/>
        <family val="1"/>
        <charset val="204"/>
      </rPr>
      <t>ДУМАЮ, ЭТО УЖЕ СДЕЛАНО и НАДО ИСКЛЮЧИТЬ?</t>
    </r>
    <r>
      <rPr>
        <sz val="12"/>
        <rFont val="Times New Roman"/>
        <family val="1"/>
        <charset val="204"/>
      </rPr>
      <t xml:space="preserve"> 87 учащихся 7 школ города изучают курс НВП и ОБЖ, 350 учащихся проходят подготовку к проведению спортивных соревнований</t>
    </r>
  </si>
  <si>
    <t>Итого по задаче 2</t>
  </si>
  <si>
    <t>Задача № 3. Создать условия для получения детьми качественного дополнительного образования, выявления и поддержки  одаренных детей</t>
  </si>
  <si>
    <t>3.3.1</t>
  </si>
  <si>
    <t>Обеспечение развития и стабильного функционирования муниципальных учреждений дополнительного образования детей(местный бюджет)</t>
  </si>
  <si>
    <t>0120080620</t>
  </si>
  <si>
    <t>В учреждениях дополнительного образования  дополнительным образованием охвачено до 93% от общего количества детей возраста от 7 до 18 лет</t>
  </si>
  <si>
    <t>012008062Т</t>
  </si>
  <si>
    <t>012008062Z</t>
  </si>
  <si>
    <t>01200S031М</t>
  </si>
  <si>
    <t>0120010420</t>
  </si>
  <si>
    <t>0120010480</t>
  </si>
  <si>
    <t>0120010340,012001047Б, 012001038А, 0120010490</t>
  </si>
  <si>
    <t>012001036U</t>
  </si>
  <si>
    <t>01200R0271</t>
  </si>
  <si>
    <t>01200S0271</t>
  </si>
  <si>
    <t>0120010370</t>
  </si>
  <si>
    <t>Обеспечение развития и стабильного функционирования муниципальных учреждений дополнительного образования детей (внебюджет)</t>
  </si>
  <si>
    <t>3.3.2</t>
  </si>
  <si>
    <t xml:space="preserve">Проведение мероприятий интеллектуальной направленности </t>
  </si>
  <si>
    <t>Отдел образования администрации города Дивногорска МКУ ГИМЦ</t>
  </si>
  <si>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Проведено 3 мероприятия с общей численностью участников не менее 500 человек. Ежегодно не менее 40 учащихся общеобразовательных   учреждений подготовлены к региональному этапу всероссийской олимпиады школьников, не менее 20 школьников образовательных учреждений приняли участие во всероссийских научно-практических конференциях и других мероприятиях интеллектуальной направленности регионального и ферального уровней</t>
    </r>
  </si>
  <si>
    <t>3.3.3</t>
  </si>
  <si>
    <t xml:space="preserve">Проведение мероприятий творческой направленности </t>
  </si>
  <si>
    <t>0128811</t>
  </si>
  <si>
    <t xml:space="preserve">Проведено 5 мероприятий с общей численностью  участников свыше 1000 человек. </t>
  </si>
  <si>
    <t>3.3.4</t>
  </si>
  <si>
    <t xml:space="preserve">Индивидуальное сопровождение победителей и призеров муниципального этапа всероссийской олимпиады школьников; обеспечение участия учащихся и сопровождающих их лиц в  круглогодичных школах, летних профильных сменах, пленэрах, тренингах  и конкурсах для интеллектуально одаренных детей и детей одарённых  в области культуры и искусства, организованных на территории Красноярского края и за его пределами </t>
  </si>
  <si>
    <r>
      <rPr>
        <sz val="12"/>
        <color indexed="10"/>
        <rFont val="Times New Roman"/>
        <family val="1"/>
        <charset val="204"/>
      </rPr>
      <t>ПОСОВЕТОВАТЬСЯ С ПОЛЕЖАЕВОЙ, о необходимости этих позиций???</t>
    </r>
    <r>
      <rPr>
        <sz val="12"/>
        <color indexed="8"/>
        <rFont val="Times New Roman"/>
        <family val="1"/>
        <charset val="204"/>
      </rPr>
      <t xml:space="preserve"> Обеспечена подготовка и сопровождение 80 учащихся на различные выездные олимпиады и конкурсы</t>
    </r>
  </si>
  <si>
    <t>Отдел физической культуры, спорта и молодежной политики администрации города Дивногорска</t>
  </si>
  <si>
    <t>Отдел культуры и искусства администрации города Дивногорска</t>
  </si>
  <si>
    <t>0804</t>
  </si>
  <si>
    <t xml:space="preserve">Организация и проведение церемонии награждения денежными премиями учащихся, показавших высокие результаты  в учебе, олимпиадах, конференциях, творческих конкурсах, спортивных соревнованиях, и их педагогов </t>
  </si>
  <si>
    <t>МКУ ГИМЦ</t>
  </si>
  <si>
    <t>350</t>
  </si>
  <si>
    <t xml:space="preserve">Ежегодно не менее 45 одаренных и талантливых детей получают премию в размере от 1500 до 6000 рублей </t>
  </si>
  <si>
    <t>3.3.5</t>
  </si>
  <si>
    <t xml:space="preserve">Участие в краевом конкурсе муниципальных программ по работе с одаренными детьми </t>
  </si>
  <si>
    <t>0128898</t>
  </si>
  <si>
    <t>3.3.6</t>
  </si>
  <si>
    <t>Обеспечение функционирования системы персонифицированного финансирования дополнительного образования детей</t>
  </si>
  <si>
    <t>Отдел образования администрации города Дивногорска (МБОУ ДО "ДДТ")</t>
  </si>
  <si>
    <t>012008065Е</t>
  </si>
  <si>
    <t>Отдел культуры администрации города Дивногорска (МБУ ДО "ДХШ", МБУ ДО "ДШИ")</t>
  </si>
  <si>
    <t>956</t>
  </si>
  <si>
    <t>012008065А</t>
  </si>
  <si>
    <t>Итого по задаче 3</t>
  </si>
  <si>
    <t xml:space="preserve">Всего по подпрограмме в т.ч.: </t>
  </si>
  <si>
    <t>федеральный бюджет</t>
  </si>
  <si>
    <r>
      <t>Н</t>
    </r>
    <r>
      <rPr>
        <sz val="14"/>
        <color indexed="8"/>
        <rFont val="Times New Roman"/>
        <family val="1"/>
        <charset val="204"/>
      </rPr>
      <t xml:space="preserve">ачальник отдела образования администрации города Дивногорска </t>
    </r>
  </si>
  <si>
    <t>О703</t>
  </si>
  <si>
    <t>0702+1003</t>
  </si>
  <si>
    <t>Приложение № 2
к Паспорту  подпрограммы 3 «Обеспечение безопасного качественного отдыха и оздоровления детей в период каникул»</t>
  </si>
  <si>
    <t>Цель: создание равных возможностей и условий для современного качественного образования, позитивной социализации и оздоровления детей в период каникул.</t>
  </si>
  <si>
    <t>0220466</t>
  </si>
  <si>
    <t xml:space="preserve">Задача № 1. Обеспечить безопасный, комфортный и качественный отдых в летний период. </t>
  </si>
  <si>
    <t>1.1.</t>
  </si>
  <si>
    <t>Содержание летних оздоровительных лагерей с дневным пребыванием детей ( приобретение канц. товаров, приобретение игрового и спортивного инвентаря, приобретение медицинских аптечек и витаминных препаратов, приобретение дезинфицирующих средств)</t>
  </si>
  <si>
    <t>0138811</t>
  </si>
  <si>
    <t>ВНЕСЛА ДЕНЬГИ ИЗ СМЕТЫ по МЦП</t>
  </si>
  <si>
    <t>Ежегодное функционирование 6 летних оздоровительных лагерей с дневным пребыванием детей, соответствующих требованиям надзорных органов, для 868 детей</t>
  </si>
  <si>
    <r>
      <t>0138811; 013008397Г,</t>
    </r>
    <r>
      <rPr>
        <b/>
        <sz val="12"/>
        <rFont val="Times New Roman"/>
        <family val="1"/>
        <charset val="204"/>
      </rPr>
      <t xml:space="preserve">  01300S397Я, 01300S649J</t>
    </r>
  </si>
  <si>
    <t xml:space="preserve">Организация подготовки и содержание нестационарного (стационарного) палаточного лагеря </t>
  </si>
  <si>
    <t xml:space="preserve">Ежегодное функционирование 1 палаточного лагеря,  соответствующего требованиям надзорных органов, и обеспечение питанием не менее 60 детей; </t>
  </si>
  <si>
    <t>Проведение мероприятий, конкурсных программ, праздников, соревнований</t>
  </si>
  <si>
    <t xml:space="preserve">Ежегодное проведение мероприятий, конкурсных программ, праздников, соревнований для  6 летних оздоровительных лагерей с дневным пребыванием детей </t>
  </si>
  <si>
    <t>Субсидия на оплату стоимости набора продуктов питания или готовых блюд и их транспортировки в лагерях с дневным пребыванием детей, в рамках Государственной программы Красноярского края "Развитие образования" (кр.б.)</t>
  </si>
  <si>
    <t>0707, 0709</t>
  </si>
  <si>
    <t>0137582; 0130073970, 01300S649Д, 0130076490</t>
  </si>
  <si>
    <t>612; 622, 870</t>
  </si>
  <si>
    <t>Предоставлены средства для оплаты стоимости продуктов питания или готовых блюд и их транспортировки для 868 детей в летних оздоровительных лагерях с дневным пребыванием детей</t>
  </si>
  <si>
    <t>0137582; 0130073970</t>
  </si>
  <si>
    <t>Оплата стоимости набора продуктов питания или готовых блюд и их транспортировки (целевой родительский взнос)</t>
  </si>
  <si>
    <r>
      <t>01300S397Г,</t>
    </r>
    <r>
      <rPr>
        <b/>
        <sz val="12"/>
        <rFont val="Times New Roman"/>
        <family val="1"/>
        <charset val="204"/>
      </rPr>
      <t xml:space="preserve"> 01300S649G</t>
    </r>
  </si>
  <si>
    <t>612; 240,622</t>
  </si>
  <si>
    <r>
      <t>01300S397Г,</t>
    </r>
    <r>
      <rPr>
        <b/>
        <sz val="12"/>
        <rFont val="Times New Roman"/>
        <family val="1"/>
        <charset val="204"/>
      </rPr>
      <t xml:space="preserve"> 01300S397Ю, 01300S649J, 01300S649U</t>
    </r>
  </si>
  <si>
    <t>612,622, 240</t>
  </si>
  <si>
    <t>Оплата стоимости набора продуктов питания или готовых блюд и их транспортировки, приобретение товарно-материальных ценностей (внебюджет)</t>
  </si>
  <si>
    <t>Расходы на выплату персоналу средств на оплату компенсации затрат на обеспечение деятельности специалистов, реализующих переданные государственные полномочия</t>
  </si>
  <si>
    <t>0130076490</t>
  </si>
  <si>
    <t>110</t>
  </si>
  <si>
    <t>Расходы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за счет средств краевого бюджета</t>
  </si>
  <si>
    <t>0137583;  013007397Д, 0130073970, 0130076490</t>
  </si>
  <si>
    <t>320,240</t>
  </si>
  <si>
    <t xml:space="preserve">Предоставлены средства для оплаты стоимости путёвок для детей в краевых государственных и негосударственных организациях отдыха, оздоровления и занятости детей, зарегистрированные на территории края, муниципальные загородные оздоровительные лагеря для </t>
  </si>
  <si>
    <t>1.6</t>
  </si>
  <si>
    <t>Софинансирование расходов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за счет целевого родительского взноса</t>
  </si>
  <si>
    <t>0130088790 01300S397Д, 01300S649D</t>
  </si>
  <si>
    <t>Оздоровлены в загородных лагерях не менее 259 детей</t>
  </si>
  <si>
    <t>1,9</t>
  </si>
  <si>
    <r>
      <t xml:space="preserve">Расходы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</t>
    </r>
    <r>
      <rPr>
        <sz val="12"/>
        <color indexed="10"/>
        <rFont val="Times New Roman"/>
        <family val="1"/>
        <charset val="204"/>
      </rPr>
      <t>(ЭТО НЕ ОДНО И ТО ЖЕ, что и п. 1.8???)</t>
    </r>
  </si>
  <si>
    <t xml:space="preserve">Задача № 2. Обеспечить организацию и проведение мероприятий для детей и молодежи по направлениям (нравственно-патриотическое, спортивно-оздоровительное, социальное) </t>
  </si>
  <si>
    <t xml:space="preserve">Проведение мероприятий гражданско-патриотической направленности </t>
  </si>
  <si>
    <t xml:space="preserve">Проведено 4 мероприятия с общей численностью участников не менее 500 человек. </t>
  </si>
  <si>
    <t xml:space="preserve">Проведение мероприятий спортивно-оздоровительной направленности </t>
  </si>
  <si>
    <t xml:space="preserve">Проведен туристический слет с общей численностью участников не менее 150 человек. </t>
  </si>
  <si>
    <t xml:space="preserve">Проведение мероприятий по организации отдыха детей </t>
  </si>
  <si>
    <t>0130088780</t>
  </si>
  <si>
    <t>01300888780</t>
  </si>
  <si>
    <t>Приложение № 1 
к Паспорту  подпрограммы 4 «Обеспечение реализации муниципальной программы и прочие мероприятия в области образования»</t>
  </si>
  <si>
    <t>Цель: создание условий для эффективного управления отраслью</t>
  </si>
  <si>
    <t>Задача 1. Обеспечить деятельность отдела образования и учреждений, обеспечивающих деятельность образовательных учреждений, направленную на эффективное управление отраслью.</t>
  </si>
  <si>
    <t>4.1.1.</t>
  </si>
  <si>
    <r>
      <t xml:space="preserve">Своевременность  утверждения муниципальных заданий  подведомственным  распорядителю учреждениям на текущий финансовый год и плановый период в срок, установленный в Положении о порядке и условиях формирования муниципального задания в отношении муниципальных учреждений, финансового обеспечения и оценки выполнения муниципального задания, утвержденного Постановлением администрации города Дивногорска от 24.12.2012 N 264п </t>
    </r>
    <r>
      <rPr>
        <i/>
        <sz val="12"/>
        <rFont val="Times New Roman"/>
        <family val="1"/>
        <charset val="204"/>
      </rPr>
      <t xml:space="preserve">(Отдел образования администрации города, МСКУ "МЦБ")
</t>
    </r>
    <r>
      <rPr>
        <sz val="12"/>
        <rFont val="Times New Roman"/>
        <family val="1"/>
        <charset val="204"/>
      </rPr>
      <t xml:space="preserve">
</t>
    </r>
  </si>
  <si>
    <t>финансовое управление администрации города Дивногорска</t>
  </si>
  <si>
    <t>Уровень исполнения расходов распорядителя за счет средств местного бюджета (без учета межбюджетных трансфертов) (Отдел образования администрации города, МСКУ "МЦБ")</t>
  </si>
  <si>
    <t>4.1.15.</t>
  </si>
  <si>
    <t>Задача 2 Обеспечить реализацию мероприятий, направленных на развитие семейных форм воспитания детей-сирот и детей, оставшихся без попечения родителей</t>
  </si>
  <si>
    <t>Численность детей, оставшихся без попечения родителей, переданных на воспитание в замещающие семьи (опека, приемная семья, усыновление), в том числе   переданных навоспитание в семьи посторонних граждан.</t>
  </si>
  <si>
    <t xml:space="preserve">чел. </t>
  </si>
  <si>
    <t>Приложение 2 
к паспорту подпрограммы 4 «Обеспечение реализации муниципальной программы и прочие мероприятия в области образования»</t>
  </si>
  <si>
    <t>Ожидаемый результат от реализации подпрограммного мероприятия (в натуральном выражении)</t>
  </si>
  <si>
    <t>Задача 1 Организация деятельности отдела образования,  учреждений, обеспечивающих деятельность образовательных учреждений, направленной на эффективное управление отраслью</t>
  </si>
  <si>
    <t>Руководство и управление в сфере установленных функций органов местного самоуправления</t>
  </si>
  <si>
    <t>0140080210</t>
  </si>
  <si>
    <t xml:space="preserve">Повышение эффективности управления муниципальными финансами и использования муниципального имущества в части вопросов реализации программы, совершенствование системы оплаты труда и мер социальной защиты и поддержки, повышение качества межведомственного взаимодействия </t>
  </si>
  <si>
    <t>244, 850</t>
  </si>
  <si>
    <t>0140080910</t>
  </si>
  <si>
    <t>0140010350</t>
  </si>
  <si>
    <t>014001036W</t>
  </si>
  <si>
    <t>014001035W</t>
  </si>
  <si>
    <t>014001036Z</t>
  </si>
  <si>
    <t>0140080030</t>
  </si>
  <si>
    <t>0140010390</t>
  </si>
  <si>
    <t>0140010400</t>
  </si>
  <si>
    <t>014001047В, 014001038V</t>
  </si>
  <si>
    <t>014001047О, 014001038А</t>
  </si>
  <si>
    <t>4.1.2</t>
  </si>
  <si>
    <t xml:space="preserve">Мероприятия по развитию и поддержке информационных баз данных системы образования </t>
  </si>
  <si>
    <t xml:space="preserve">отдел образования администрации города Дивногорска (МКУ ГИМЦ)- </t>
  </si>
  <si>
    <t>0140080220</t>
  </si>
  <si>
    <t>Функционируют  БД системы дошкольного, общего и дополнительного образовния, БД детей-сирот, сайт системы образования города</t>
  </si>
  <si>
    <t>4.1.3</t>
  </si>
  <si>
    <t xml:space="preserve">Обеспечение деятельности (оказание услуг) подведомственных учреждений </t>
  </si>
  <si>
    <t xml:space="preserve">МСКУ "МЦБ"               </t>
  </si>
  <si>
    <t>014001047К</t>
  </si>
  <si>
    <t>Обеспечено бухгалтерское обслуживание 34 учреждений;</t>
  </si>
  <si>
    <t>0140080710</t>
  </si>
  <si>
    <t>0140010230, 0140010490, 0140010340</t>
  </si>
  <si>
    <t>014001036U</t>
  </si>
  <si>
    <t>014001038А</t>
  </si>
  <si>
    <t>4.1.4</t>
  </si>
  <si>
    <t>Обеспечение деятельности (оказание услуг) подведомственных учреждений (ГИМЦ)</t>
  </si>
  <si>
    <r>
      <t xml:space="preserve">МКУ ГИМЦ </t>
    </r>
    <r>
      <rPr>
        <sz val="12"/>
        <color indexed="10"/>
        <rFont val="Times New Roman"/>
        <family val="1"/>
        <charset val="204"/>
      </rPr>
      <t/>
    </r>
  </si>
  <si>
    <t>Обеспечено услугами по юридическому и методическому сопровождению 21 образовательное учреждение.   Ежегодно 250 педагогов повышают квалификацию, проведены 20 мероприятий с численностью участников 1600 человек, функционируют не менее 15 различных форм педагогических объединений; обеспечение мониторинга качества образования, а также проведение государственной итоговой аттестации выпускников общеобразовательных учреждений в установленные сроки</t>
  </si>
  <si>
    <t>0148081</t>
  </si>
  <si>
    <t>0140010450</t>
  </si>
  <si>
    <t>4.1.5</t>
  </si>
  <si>
    <t>Обеспечение деятельности (оказание услуг) подведомственных учреждений (ЦТО)</t>
  </si>
  <si>
    <t>МКУ ЦТО</t>
  </si>
  <si>
    <t>0140010370</t>
  </si>
  <si>
    <t>4.2.1</t>
  </si>
  <si>
    <t>Обеспечение деятельности специалистов по опеке и попечительству в отношении несовершеннолетних</t>
  </si>
  <si>
    <t>отдел образования администрации города Дивногорска (опека и попечительство)</t>
  </si>
  <si>
    <t>0140075520</t>
  </si>
  <si>
    <t>Обеспечить деятельность 3 специалистов по вопросам опеки и попечительства по исполнению государственных полномочий по организации и осуществлению деятельности по опеке и попечительству.</t>
  </si>
  <si>
    <t>0140078460</t>
  </si>
  <si>
    <t>4.2.2</t>
  </si>
  <si>
    <t>Приобретение жилых помещений для их предоставления по договору найма детям-сиротам, детям, оставшимся без попечения родителей, и лицам из их числа</t>
  </si>
  <si>
    <t>администрация города Дивногорска (опека и попечительство)</t>
  </si>
  <si>
    <t>0140050820</t>
  </si>
  <si>
    <t>410</t>
  </si>
  <si>
    <t>Приобретены жилые помещения для 25 детей-сирот и детей, оставшихся без попечения родителей</t>
  </si>
  <si>
    <t>0140075870, 01400L0820</t>
  </si>
  <si>
    <t>01400L0820, 0140075870</t>
  </si>
  <si>
    <t>Приложение 1
к паспорту подпрограммы 3 «Обеспечение безопасного качественного отдыха и оздоровления детей в период каникул"</t>
  </si>
  <si>
    <t>Цель: обеспечить безопасный и качественный отдых и оздоровление детей в период каникул.</t>
  </si>
  <si>
    <t>Задача №1. Создать условия для безопасного и качественного отдыха детей в летний период</t>
  </si>
  <si>
    <t>3.1.1.</t>
  </si>
  <si>
    <r>
      <t>Доля оздоровленных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детей школьного возраста </t>
    </r>
  </si>
  <si>
    <t>3.2.1.</t>
  </si>
  <si>
    <t xml:space="preserve">Доля детей школьного возраста, вовлеченных в городские массовые мероприятия от общего числа детей школьного возраста </t>
  </si>
  <si>
    <t>3.2.2.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</si>
</sst>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-* #,##0.0_р_._-;\-* #,##0.0_р_._-;_-* &quot;-&quot;?_р_._-;_-@_-"/>
    <numFmt numFmtId="165" formatCode="_-* #,##0.0\ _₽_-;\-* #,##0.0\ _₽_-;_-* &quot;-&quot;?\ _₽_-;_-@_-"/>
    <numFmt numFmtId="166" formatCode="_-* #,##0.00_р_._-;\-* #,##0.00_р_._-;_-* &quot;-&quot;??_р_._-;_-@_-"/>
    <numFmt numFmtId="167" formatCode="#,##0.0"/>
    <numFmt numFmtId="168" formatCode="0.0"/>
    <numFmt numFmtId="169" formatCode="0.00000000"/>
    <numFmt numFmtId="170" formatCode="0.00000000000"/>
    <numFmt numFmtId="171" formatCode="#,##0.0_ ;\-#,##0.0\ "/>
    <numFmt numFmtId="172" formatCode="0.0000000000"/>
    <numFmt numFmtId="173" formatCode="_-* #,##0.00_р_._-;\-* #,##0.00_р_._-;_-* &quot;-&quot;?_р_._-;_-@_-"/>
    <numFmt numFmtId="174" formatCode="_-* #,##0.0\ _р_._-;\-* #,##0.0\ _р_._-;_-* &quot;-&quot;?\ _р_._-;_-@_-"/>
  </numFmts>
  <fonts count="35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sz val="12"/>
      <color theme="6" tint="0.7999816888943144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name val="Calibri"/>
      <family val="2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b/>
      <sz val="12"/>
      <color rgb="FF0033CC"/>
      <name val="Times New Roman"/>
      <family val="1"/>
      <charset val="204"/>
    </font>
    <font>
      <i/>
      <sz val="11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6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theme="0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2"/>
      <color rgb="FF7030A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2"/>
      <color indexed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1" fillId="0" borderId="0"/>
  </cellStyleXfs>
  <cellXfs count="584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64" fontId="2" fillId="2" borderId="2" xfId="0" applyNumberFormat="1" applyFont="1" applyFill="1" applyBorder="1"/>
    <xf numFmtId="164" fontId="2" fillId="0" borderId="2" xfId="0" applyNumberFormat="1" applyFont="1" applyFill="1" applyBorder="1"/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" xfId="0" applyFont="1" applyBorder="1"/>
    <xf numFmtId="164" fontId="2" fillId="2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0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/>
    <xf numFmtId="49" fontId="2" fillId="0" borderId="2" xfId="0" applyNumberFormat="1" applyFont="1" applyFill="1" applyBorder="1"/>
    <xf numFmtId="0" fontId="2" fillId="2" borderId="2" xfId="0" applyFont="1" applyFill="1" applyBorder="1"/>
    <xf numFmtId="164" fontId="2" fillId="4" borderId="2" xfId="0" applyNumberFormat="1" applyFont="1" applyFill="1" applyBorder="1"/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4" fontId="2" fillId="2" borderId="0" xfId="0" applyNumberFormat="1" applyFont="1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4" fontId="2" fillId="4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164" fontId="2" fillId="0" borderId="0" xfId="0" applyNumberFormat="1" applyFont="1"/>
    <xf numFmtId="164" fontId="2" fillId="0" borderId="0" xfId="0" applyNumberFormat="1" applyFont="1" applyFill="1"/>
    <xf numFmtId="164" fontId="2" fillId="2" borderId="0" xfId="0" applyNumberFormat="1" applyFont="1" applyFill="1"/>
    <xf numFmtId="0" fontId="2" fillId="0" borderId="0" xfId="0" applyFont="1" applyFill="1"/>
    <xf numFmtId="0" fontId="2" fillId="2" borderId="0" xfId="0" applyFont="1" applyFill="1"/>
    <xf numFmtId="165" fontId="2" fillId="0" borderId="0" xfId="0" applyNumberFormat="1" applyFont="1" applyFill="1"/>
    <xf numFmtId="165" fontId="2" fillId="2" borderId="0" xfId="0" applyNumberFormat="1" applyFont="1" applyFill="1"/>
    <xf numFmtId="165" fontId="2" fillId="0" borderId="0" xfId="0" applyNumberFormat="1" applyFont="1"/>
    <xf numFmtId="0" fontId="5" fillId="0" borderId="0" xfId="0" applyFont="1" applyFill="1"/>
    <xf numFmtId="0" fontId="5" fillId="2" borderId="0" xfId="0" applyFont="1" applyFill="1"/>
    <xf numFmtId="0" fontId="6" fillId="0" borderId="0" xfId="0" applyFont="1" applyFill="1" applyAlignment="1">
      <alignment horizontal="right" vertical="top" wrapText="1"/>
    </xf>
    <xf numFmtId="0" fontId="6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top" wrapText="1"/>
    </xf>
    <xf numFmtId="167" fontId="2" fillId="2" borderId="2" xfId="1" applyNumberFormat="1" applyFont="1" applyFill="1" applyBorder="1" applyAlignment="1">
      <alignment horizontal="right" vertical="center" wrapText="1"/>
    </xf>
    <xf numFmtId="167" fontId="2" fillId="0" borderId="2" xfId="1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top" wrapText="1" indent="1"/>
    </xf>
    <xf numFmtId="167" fontId="6" fillId="2" borderId="2" xfId="0" applyNumberFormat="1" applyFont="1" applyFill="1" applyBorder="1" applyAlignment="1">
      <alignment horizontal="right" vertical="center" wrapText="1"/>
    </xf>
    <xf numFmtId="167" fontId="2" fillId="2" borderId="2" xfId="0" applyNumberFormat="1" applyFont="1" applyFill="1" applyBorder="1" applyAlignment="1">
      <alignment horizontal="right" vertical="center"/>
    </xf>
    <xf numFmtId="167" fontId="2" fillId="0" borderId="2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top" wrapText="1" indent="2"/>
    </xf>
    <xf numFmtId="0" fontId="2" fillId="0" borderId="8" xfId="0" applyFont="1" applyFill="1" applyBorder="1" applyAlignment="1">
      <alignment horizontal="center" vertical="center" wrapText="1"/>
    </xf>
    <xf numFmtId="167" fontId="2" fillId="4" borderId="2" xfId="1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top" wrapText="1"/>
    </xf>
    <xf numFmtId="167" fontId="2" fillId="4" borderId="2" xfId="0" applyNumberFormat="1" applyFont="1" applyFill="1" applyBorder="1" applyAlignment="1">
      <alignment horizontal="right" vertical="center"/>
    </xf>
    <xf numFmtId="0" fontId="2" fillId="0" borderId="0" xfId="0" applyFont="1" applyFill="1" applyAlignment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/>
    <xf numFmtId="0" fontId="2" fillId="2" borderId="9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vertical="top" wrapText="1"/>
    </xf>
    <xf numFmtId="167" fontId="5" fillId="0" borderId="0" xfId="0" applyNumberFormat="1" applyFont="1" applyFill="1"/>
    <xf numFmtId="167" fontId="5" fillId="2" borderId="0" xfId="0" applyNumberFormat="1" applyFont="1" applyFill="1"/>
    <xf numFmtId="0" fontId="2" fillId="0" borderId="0" xfId="0" applyFont="1" applyFill="1" applyAlignment="1">
      <alignment horizontal="right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wrapText="1"/>
    </xf>
    <xf numFmtId="168" fontId="2" fillId="0" borderId="2" xfId="0" applyNumberFormat="1" applyFont="1" applyFill="1" applyBorder="1" applyAlignment="1">
      <alignment horizontal="center" vertical="center"/>
    </xf>
    <xf numFmtId="168" fontId="2" fillId="2" borderId="2" xfId="0" applyNumberFormat="1" applyFont="1" applyFill="1" applyBorder="1" applyAlignment="1">
      <alignment horizontal="center" vertical="center"/>
    </xf>
    <xf numFmtId="168" fontId="2" fillId="4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168" fontId="2" fillId="0" borderId="0" xfId="0" applyNumberFormat="1" applyFont="1" applyFill="1"/>
    <xf numFmtId="169" fontId="2" fillId="0" borderId="0" xfId="0" applyNumberFormat="1" applyFont="1" applyFill="1"/>
    <xf numFmtId="2" fontId="2" fillId="4" borderId="0" xfId="0" applyNumberFormat="1" applyFont="1" applyFill="1"/>
    <xf numFmtId="0" fontId="7" fillId="4" borderId="0" xfId="0" applyFont="1" applyFill="1"/>
    <xf numFmtId="0" fontId="4" fillId="0" borderId="10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2" fillId="2" borderId="4" xfId="0" applyFont="1" applyFill="1" applyBorder="1"/>
    <xf numFmtId="0" fontId="2" fillId="0" borderId="4" xfId="0" applyFont="1" applyFill="1" applyBorder="1"/>
    <xf numFmtId="0" fontId="2" fillId="0" borderId="5" xfId="0" applyFont="1" applyFill="1" applyBorder="1"/>
    <xf numFmtId="0" fontId="2" fillId="2" borderId="5" xfId="0" applyFont="1" applyFill="1" applyBorder="1" applyAlignment="1">
      <alignment vertical="center"/>
    </xf>
    <xf numFmtId="2" fontId="2" fillId="0" borderId="0" xfId="0" applyNumberFormat="1" applyFont="1" applyFill="1"/>
    <xf numFmtId="170" fontId="2" fillId="0" borderId="0" xfId="0" applyNumberFormat="1" applyFont="1" applyFill="1"/>
    <xf numFmtId="168" fontId="2" fillId="2" borderId="4" xfId="0" applyNumberFormat="1" applyFont="1" applyFill="1" applyBorder="1"/>
    <xf numFmtId="168" fontId="2" fillId="0" borderId="4" xfId="0" applyNumberFormat="1" applyFont="1" applyFill="1" applyBorder="1"/>
    <xf numFmtId="168" fontId="2" fillId="0" borderId="5" xfId="0" applyNumberFormat="1" applyFont="1" applyFill="1" applyBorder="1"/>
    <xf numFmtId="168" fontId="2" fillId="0" borderId="0" xfId="0" applyNumberFormat="1" applyFont="1" applyFill="1" applyAlignment="1">
      <alignment horizontal="right"/>
    </xf>
    <xf numFmtId="0" fontId="2" fillId="0" borderId="2" xfId="0" applyFont="1" applyFill="1" applyBorder="1" applyAlignment="1">
      <alignment vertical="center"/>
    </xf>
    <xf numFmtId="168" fontId="2" fillId="0" borderId="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2" fillId="0" borderId="0" xfId="0" applyFont="1" applyFill="1" applyAlignment="1">
      <alignment horizontal="right"/>
    </xf>
    <xf numFmtId="49" fontId="2" fillId="0" borderId="0" xfId="2" applyNumberFormat="1" applyFont="1" applyFill="1" applyAlignment="1">
      <alignment horizontal="center" vertical="center"/>
    </xf>
    <xf numFmtId="0" fontId="2" fillId="0" borderId="0" xfId="2" applyFont="1" applyFill="1" applyAlignment="1">
      <alignment wrapText="1"/>
    </xf>
    <xf numFmtId="0" fontId="2" fillId="0" borderId="0" xfId="2" applyFont="1" applyFill="1" applyAlignment="1">
      <alignment horizontal="center" vertical="center" wrapText="1"/>
    </xf>
    <xf numFmtId="0" fontId="8" fillId="0" borderId="0" xfId="2" applyFont="1" applyFill="1" applyAlignment="1">
      <alignment horizontal="right" vertical="top" wrapText="1"/>
    </xf>
    <xf numFmtId="0" fontId="4" fillId="0" borderId="0" xfId="2" applyFont="1" applyFill="1" applyBorder="1" applyAlignment="1">
      <alignment horizontal="center" vertical="center" wrapText="1"/>
    </xf>
    <xf numFmtId="0" fontId="9" fillId="0" borderId="0" xfId="0" applyFont="1" applyFill="1"/>
    <xf numFmtId="49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left" vertical="center" wrapText="1" inden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left" vertical="center" wrapText="1"/>
    </xf>
    <xf numFmtId="2" fontId="2" fillId="2" borderId="2" xfId="2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vertical="center"/>
    </xf>
    <xf numFmtId="2" fontId="2" fillId="0" borderId="2" xfId="0" applyNumberFormat="1" applyFont="1" applyFill="1" applyBorder="1" applyAlignment="1">
      <alignment vertical="center"/>
    </xf>
    <xf numFmtId="0" fontId="2" fillId="0" borderId="2" xfId="2" applyFont="1" applyFill="1" applyBorder="1" applyAlignment="1">
      <alignment horizontal="left" vertical="center" wrapText="1" indent="1"/>
    </xf>
    <xf numFmtId="0" fontId="2" fillId="2" borderId="2" xfId="2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left" vertical="center" wrapText="1"/>
    </xf>
    <xf numFmtId="2" fontId="2" fillId="0" borderId="5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168" fontId="2" fillId="0" borderId="3" xfId="0" applyNumberFormat="1" applyFont="1" applyFill="1" applyBorder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168" fontId="2" fillId="0" borderId="3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2" xfId="2" applyNumberFormat="1" applyFont="1" applyFill="1" applyBorder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2" fontId="2" fillId="2" borderId="2" xfId="2" applyNumberFormat="1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49" fontId="2" fillId="0" borderId="2" xfId="2" applyNumberFormat="1" applyFont="1" applyFill="1" applyBorder="1" applyAlignment="1">
      <alignment horizontal="center" vertical="center" wrapText="1"/>
    </xf>
    <xf numFmtId="2" fontId="2" fillId="0" borderId="2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2" fillId="2" borderId="2" xfId="2" applyNumberFormat="1" applyFont="1" applyFill="1" applyBorder="1" applyAlignment="1">
      <alignment horizontal="center" vertical="center" wrapText="1"/>
    </xf>
    <xf numFmtId="0" fontId="2" fillId="0" borderId="3" xfId="2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vertical="center"/>
    </xf>
    <xf numFmtId="0" fontId="2" fillId="0" borderId="2" xfId="2" applyFont="1" applyFill="1" applyBorder="1" applyAlignment="1">
      <alignment horizontal="left" vertical="top" wrapText="1" indent="1"/>
    </xf>
    <xf numFmtId="3" fontId="2" fillId="0" borderId="2" xfId="2" applyNumberFormat="1" applyFont="1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center" vertical="center"/>
    </xf>
    <xf numFmtId="0" fontId="2" fillId="4" borderId="2" xfId="2" applyFont="1" applyFill="1" applyBorder="1" applyAlignment="1">
      <alignment horizontal="left" vertical="top" wrapText="1" indent="1"/>
    </xf>
    <xf numFmtId="0" fontId="2" fillId="4" borderId="2" xfId="2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2" xfId="2" applyFont="1" applyFill="1" applyBorder="1" applyAlignment="1">
      <alignment horizontal="center" vertical="top" wrapText="1"/>
    </xf>
    <xf numFmtId="0" fontId="2" fillId="4" borderId="2" xfId="2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1" fontId="2" fillId="4" borderId="2" xfId="2" applyNumberFormat="1" applyFont="1" applyFill="1" applyBorder="1" applyAlignment="1">
      <alignment horizontal="center" vertical="center" wrapText="1"/>
    </xf>
    <xf numFmtId="1" fontId="2" fillId="4" borderId="3" xfId="0" applyNumberFormat="1" applyFont="1" applyFill="1" applyBorder="1" applyAlignment="1">
      <alignment vertical="center"/>
    </xf>
    <xf numFmtId="2" fontId="2" fillId="4" borderId="2" xfId="0" applyNumberFormat="1" applyFont="1" applyFill="1" applyBorder="1" applyAlignment="1">
      <alignment vertical="center"/>
    </xf>
    <xf numFmtId="0" fontId="2" fillId="4" borderId="0" xfId="0" applyFont="1" applyFill="1"/>
    <xf numFmtId="0" fontId="2" fillId="0" borderId="2" xfId="2" applyFont="1" applyFill="1" applyBorder="1" applyAlignment="1">
      <alignment horizontal="center" vertical="top" wrapText="1"/>
    </xf>
    <xf numFmtId="1" fontId="2" fillId="0" borderId="3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left"/>
    </xf>
    <xf numFmtId="0" fontId="2" fillId="0" borderId="2" xfId="2" applyFont="1" applyFill="1" applyBorder="1" applyAlignment="1">
      <alignment vertical="top" wrapText="1"/>
    </xf>
    <xf numFmtId="0" fontId="2" fillId="2" borderId="0" xfId="0" applyFont="1" applyFill="1" applyBorder="1"/>
    <xf numFmtId="0" fontId="2" fillId="2" borderId="2" xfId="0" applyFont="1" applyFill="1" applyBorder="1" applyAlignment="1">
      <alignment horizontal="left"/>
    </xf>
    <xf numFmtId="0" fontId="2" fillId="0" borderId="2" xfId="2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center" wrapText="1"/>
    </xf>
    <xf numFmtId="0" fontId="9" fillId="0" borderId="0" xfId="0" applyFont="1" applyFill="1" applyBorder="1"/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2" fontId="2" fillId="2" borderId="0" xfId="2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167" fontId="2" fillId="0" borderId="2" xfId="0" applyNumberFormat="1" applyFont="1" applyFill="1" applyBorder="1" applyAlignment="1">
      <alignment horizontal="center" vertical="center" wrapText="1"/>
    </xf>
    <xf numFmtId="167" fontId="2" fillId="0" borderId="2" xfId="2" applyNumberFormat="1" applyFont="1" applyFill="1" applyBorder="1" applyAlignment="1">
      <alignment horizontal="center" vertical="center" wrapText="1"/>
    </xf>
    <xf numFmtId="0" fontId="2" fillId="2" borderId="0" xfId="2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Border="1" applyAlignment="1">
      <alignment horizontal="right" wrapText="1"/>
    </xf>
    <xf numFmtId="0" fontId="0" fillId="2" borderId="0" xfId="0" applyFill="1" applyBorder="1" applyAlignment="1"/>
    <xf numFmtId="0" fontId="0" fillId="2" borderId="0" xfId="0" applyFill="1" applyBorder="1" applyAlignment="1"/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3" fontId="14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8" fillId="0" borderId="0" xfId="2" applyFont="1" applyFill="1" applyAlignment="1">
      <alignment horizontal="left" vertical="top" wrapText="1"/>
    </xf>
    <xf numFmtId="0" fontId="4" fillId="0" borderId="1" xfId="2" applyFont="1" applyFill="1" applyBorder="1" applyAlignment="1">
      <alignment horizontal="center" vertical="center" wrapText="1"/>
    </xf>
    <xf numFmtId="49" fontId="2" fillId="0" borderId="6" xfId="2" applyNumberFormat="1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49" fontId="2" fillId="0" borderId="7" xfId="2" applyNumberFormat="1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0" fillId="0" borderId="7" xfId="0" applyFill="1" applyBorder="1"/>
    <xf numFmtId="0" fontId="0" fillId="0" borderId="7" xfId="0" applyBorder="1"/>
    <xf numFmtId="49" fontId="2" fillId="0" borderId="8" xfId="2" applyNumberFormat="1" applyFont="1" applyFill="1" applyBorder="1" applyAlignment="1">
      <alignment horizontal="center" vertical="center" wrapText="1"/>
    </xf>
    <xf numFmtId="0" fontId="2" fillId="0" borderId="8" xfId="2" applyFont="1" applyFill="1" applyBorder="1" applyAlignment="1">
      <alignment horizontal="center" vertical="center" wrapText="1"/>
    </xf>
    <xf numFmtId="0" fontId="0" fillId="0" borderId="8" xfId="0" applyFill="1" applyBorder="1"/>
    <xf numFmtId="0" fontId="0" fillId="0" borderId="8" xfId="0" applyBorder="1"/>
    <xf numFmtId="0" fontId="2" fillId="2" borderId="8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center" vertical="center" wrapText="1"/>
    </xf>
    <xf numFmtId="0" fontId="2" fillId="0" borderId="9" xfId="2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68" fontId="2" fillId="2" borderId="6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68" fontId="2" fillId="2" borderId="5" xfId="0" applyNumberFormat="1" applyFont="1" applyFill="1" applyBorder="1" applyAlignment="1">
      <alignment horizontal="center" vertical="center"/>
    </xf>
    <xf numFmtId="168" fontId="2" fillId="0" borderId="8" xfId="0" applyNumberFormat="1" applyFont="1" applyFill="1" applyBorder="1" applyAlignment="1">
      <alignment horizontal="center" vertical="center"/>
    </xf>
    <xf numFmtId="168" fontId="2" fillId="2" borderId="8" xfId="0" applyNumberFormat="1" applyFont="1" applyFill="1" applyBorder="1" applyAlignment="1">
      <alignment horizontal="center" vertical="center"/>
    </xf>
    <xf numFmtId="0" fontId="15" fillId="0" borderId="0" xfId="0" applyFont="1" applyFill="1"/>
    <xf numFmtId="49" fontId="2" fillId="0" borderId="0" xfId="2" applyNumberFormat="1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left" vertical="center" wrapText="1" indent="1"/>
    </xf>
    <xf numFmtId="0" fontId="2" fillId="0" borderId="0" xfId="2" applyNumberFormat="1" applyFont="1" applyFill="1" applyBorder="1" applyAlignment="1">
      <alignment horizontal="center" vertical="center" wrapText="1"/>
    </xf>
    <xf numFmtId="0" fontId="2" fillId="2" borderId="0" xfId="2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166" fontId="2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167" fontId="8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8" fillId="0" borderId="0" xfId="2" applyFont="1" applyFill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right" wrapText="1"/>
    </xf>
    <xf numFmtId="4" fontId="2" fillId="2" borderId="2" xfId="0" applyNumberFormat="1" applyFont="1" applyFill="1" applyBorder="1" applyAlignment="1">
      <alignment horizontal="right" wrapText="1"/>
    </xf>
    <xf numFmtId="4" fontId="2" fillId="4" borderId="2" xfId="0" applyNumberFormat="1" applyFont="1" applyFill="1" applyBorder="1" applyAlignment="1">
      <alignment horizontal="right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left" vertical="top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left" vertical="top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left" vertical="top" wrapText="1"/>
    </xf>
    <xf numFmtId="0" fontId="2" fillId="0" borderId="7" xfId="0" applyNumberFormat="1" applyFont="1" applyFill="1" applyBorder="1" applyAlignment="1">
      <alignment horizontal="left" vertical="top" wrapText="1"/>
    </xf>
    <xf numFmtId="4" fontId="2" fillId="0" borderId="2" xfId="0" applyNumberFormat="1" applyFont="1" applyFill="1" applyBorder="1" applyAlignment="1">
      <alignment horizontal="right"/>
    </xf>
    <xf numFmtId="4" fontId="2" fillId="2" borderId="2" xfId="0" applyNumberFormat="1" applyFont="1" applyFill="1" applyBorder="1" applyAlignment="1">
      <alignment horizontal="right"/>
    </xf>
    <xf numFmtId="0" fontId="2" fillId="0" borderId="8" xfId="0" applyNumberFormat="1" applyFont="1" applyFill="1" applyBorder="1" applyAlignment="1">
      <alignment horizontal="left" vertical="top" wrapText="1"/>
    </xf>
    <xf numFmtId="0" fontId="2" fillId="0" borderId="2" xfId="0" applyNumberFormat="1" applyFont="1" applyFill="1" applyBorder="1" applyAlignment="1">
      <alignment horizontal="left" vertical="top" wrapText="1"/>
    </xf>
    <xf numFmtId="49" fontId="2" fillId="0" borderId="6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6" xfId="0" applyNumberFormat="1" applyFont="1" applyFill="1" applyBorder="1" applyAlignment="1">
      <alignment vertical="center" wrapText="1"/>
    </xf>
    <xf numFmtId="0" fontId="2" fillId="0" borderId="8" xfId="0" applyNumberFormat="1" applyFont="1" applyFill="1" applyBorder="1" applyAlignment="1">
      <alignment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49" fontId="8" fillId="0" borderId="6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4" fontId="17" fillId="0" borderId="2" xfId="0" applyNumberFormat="1" applyFont="1" applyFill="1" applyBorder="1" applyAlignment="1">
      <alignment horizontal="right"/>
    </xf>
    <xf numFmtId="0" fontId="0" fillId="0" borderId="8" xfId="0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top"/>
    </xf>
    <xf numFmtId="0" fontId="2" fillId="0" borderId="5" xfId="0" applyNumberFormat="1" applyFont="1" applyFill="1" applyBorder="1" applyAlignment="1">
      <alignment horizontal="left" vertical="top"/>
    </xf>
    <xf numFmtId="0" fontId="2" fillId="0" borderId="2" xfId="0" applyNumberFormat="1" applyFont="1" applyFill="1" applyBorder="1" applyAlignment="1">
      <alignment horizontal="center" vertical="top"/>
    </xf>
    <xf numFmtId="49" fontId="2" fillId="0" borderId="2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8" fillId="0" borderId="0" xfId="0" applyNumberFormat="1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center" vertical="top" wrapText="1"/>
    </xf>
    <xf numFmtId="164" fontId="18" fillId="0" borderId="0" xfId="1" applyNumberFormat="1" applyFont="1" applyFill="1" applyBorder="1" applyAlignment="1">
      <alignment horizontal="center" vertical="center"/>
    </xf>
    <xf numFmtId="0" fontId="8" fillId="0" borderId="0" xfId="0" applyFont="1" applyFill="1" applyBorder="1"/>
    <xf numFmtId="49" fontId="2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171" fontId="2" fillId="0" borderId="0" xfId="0" applyNumberFormat="1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8" fillId="0" borderId="0" xfId="2" applyFont="1" applyFill="1" applyAlignment="1">
      <alignment horizontal="right" vertical="top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justify" vertical="center" wrapText="1"/>
    </xf>
    <xf numFmtId="0" fontId="15" fillId="2" borderId="0" xfId="0" applyFont="1" applyFill="1"/>
    <xf numFmtId="0" fontId="2" fillId="0" borderId="2" xfId="0" applyFont="1" applyBorder="1" applyAlignment="1">
      <alignment horizontal="justify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2" fontId="2" fillId="2" borderId="3" xfId="2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3" xfId="2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wrapText="1"/>
    </xf>
    <xf numFmtId="2" fontId="2" fillId="0" borderId="3" xfId="2" applyNumberFormat="1" applyFont="1" applyFill="1" applyBorder="1" applyAlignment="1">
      <alignment horizontal="center" vertical="center" wrapText="1"/>
    </xf>
    <xf numFmtId="49" fontId="20" fillId="0" borderId="0" xfId="0" applyNumberFormat="1" applyFont="1" applyFill="1" applyAlignment="1">
      <alignment vertical="center"/>
    </xf>
    <xf numFmtId="0" fontId="20" fillId="0" borderId="0" xfId="0" applyFont="1" applyFill="1"/>
    <xf numFmtId="0" fontId="20" fillId="0" borderId="0" xfId="0" applyFont="1" applyFill="1" applyAlignment="1"/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right"/>
    </xf>
    <xf numFmtId="49" fontId="2" fillId="2" borderId="0" xfId="0" applyNumberFormat="1" applyFont="1" applyFill="1" applyBorder="1" applyAlignment="1">
      <alignment horizontal="center"/>
    </xf>
    <xf numFmtId="166" fontId="2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right" vertical="center" wrapText="1"/>
    </xf>
    <xf numFmtId="4" fontId="20" fillId="2" borderId="2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Fill="1" applyBorder="1" applyAlignment="1">
      <alignment horizontal="left" vertical="center" wrapText="1"/>
    </xf>
    <xf numFmtId="2" fontId="2" fillId="2" borderId="0" xfId="0" applyNumberFormat="1" applyFont="1" applyFill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left" vertical="center" wrapText="1"/>
    </xf>
    <xf numFmtId="4" fontId="2" fillId="4" borderId="2" xfId="0" applyNumberFormat="1" applyFont="1" applyFill="1" applyBorder="1" applyAlignment="1">
      <alignment horizontal="right" vertical="center" wrapText="1"/>
    </xf>
    <xf numFmtId="2" fontId="2" fillId="0" borderId="6" xfId="0" applyNumberFormat="1" applyFont="1" applyFill="1" applyBorder="1" applyAlignment="1">
      <alignment horizontal="center" vertical="top" wrapText="1"/>
    </xf>
    <xf numFmtId="0" fontId="16" fillId="2" borderId="7" xfId="0" applyFont="1" applyFill="1" applyBorder="1" applyAlignment="1">
      <alignment horizontal="center" vertical="center" wrapText="1"/>
    </xf>
    <xf numFmtId="2" fontId="2" fillId="0" borderId="7" xfId="0" applyNumberFormat="1" applyFont="1" applyFill="1" applyBorder="1" applyAlignment="1">
      <alignment horizontal="center" vertical="top" wrapText="1"/>
    </xf>
    <xf numFmtId="0" fontId="16" fillId="2" borderId="8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/>
    </xf>
    <xf numFmtId="2" fontId="2" fillId="0" borderId="8" xfId="0" applyNumberFormat="1" applyFont="1" applyFill="1" applyBorder="1" applyAlignment="1">
      <alignment horizontal="center" vertical="top" wrapText="1"/>
    </xf>
    <xf numFmtId="49" fontId="2" fillId="2" borderId="6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top" wrapText="1"/>
    </xf>
    <xf numFmtId="49" fontId="2" fillId="2" borderId="6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/>
    </xf>
    <xf numFmtId="0" fontId="2" fillId="2" borderId="2" xfId="0" applyNumberFormat="1" applyFont="1" applyFill="1" applyBorder="1" applyAlignment="1">
      <alignment horizontal="left" vertical="top"/>
    </xf>
    <xf numFmtId="2" fontId="2" fillId="2" borderId="2" xfId="0" applyNumberFormat="1" applyFont="1" applyFill="1" applyBorder="1" applyAlignment="1">
      <alignment horizontal="left" vertical="center"/>
    </xf>
    <xf numFmtId="4" fontId="2" fillId="2" borderId="2" xfId="0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vertical="center" wrapText="1"/>
    </xf>
    <xf numFmtId="4" fontId="2" fillId="0" borderId="0" xfId="0" applyNumberFormat="1" applyFont="1" applyFill="1"/>
    <xf numFmtId="172" fontId="2" fillId="0" borderId="0" xfId="0" applyNumberFormat="1" applyFont="1" applyFill="1"/>
    <xf numFmtId="49" fontId="2" fillId="2" borderId="2" xfId="0" applyNumberFormat="1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49" fontId="15" fillId="2" borderId="2" xfId="0" applyNumberFormat="1" applyFont="1" applyFill="1" applyBorder="1" applyAlignment="1">
      <alignment horizontal="left" vertical="center" wrapText="1"/>
    </xf>
    <xf numFmtId="4" fontId="15" fillId="2" borderId="2" xfId="0" applyNumberFormat="1" applyFont="1" applyFill="1" applyBorder="1" applyAlignment="1">
      <alignment horizontal="right" vertical="center"/>
    </xf>
    <xf numFmtId="0" fontId="22" fillId="0" borderId="2" xfId="0" applyFont="1" applyFill="1" applyBorder="1" applyAlignment="1">
      <alignment horizontal="left" vertical="center" wrapText="1"/>
    </xf>
    <xf numFmtId="49" fontId="8" fillId="2" borderId="2" xfId="0" applyNumberFormat="1" applyFont="1" applyFill="1" applyBorder="1" applyAlignment="1">
      <alignment horizontal="left" vertical="center"/>
    </xf>
    <xf numFmtId="0" fontId="23" fillId="0" borderId="13" xfId="0" applyFont="1" applyFill="1" applyBorder="1" applyAlignment="1">
      <alignment horizontal="center" textRotation="90"/>
    </xf>
    <xf numFmtId="0" fontId="23" fillId="0" borderId="0" xfId="0" applyFont="1" applyFill="1" applyAlignment="1">
      <alignment vertical="top" wrapText="1"/>
    </xf>
    <xf numFmtId="0" fontId="2" fillId="0" borderId="0" xfId="0" applyFont="1" applyFill="1" applyAlignment="1">
      <alignment wrapText="1"/>
    </xf>
    <xf numFmtId="0" fontId="23" fillId="0" borderId="0" xfId="0" applyFont="1" applyFill="1" applyBorder="1" applyAlignment="1">
      <alignment horizontal="center" textRotation="90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right" vertical="center"/>
    </xf>
    <xf numFmtId="0" fontId="24" fillId="2" borderId="2" xfId="0" applyFont="1" applyFill="1" applyBorder="1" applyAlignment="1">
      <alignment horizontal="right" vertical="center"/>
    </xf>
    <xf numFmtId="0" fontId="12" fillId="0" borderId="2" xfId="0" applyFont="1" applyFill="1" applyBorder="1" applyAlignment="1">
      <alignment horizontal="left" vertical="center"/>
    </xf>
    <xf numFmtId="49" fontId="8" fillId="2" borderId="2" xfId="0" applyNumberFormat="1" applyFont="1" applyFill="1" applyBorder="1" applyAlignment="1">
      <alignment horizontal="left" vertical="center"/>
    </xf>
    <xf numFmtId="49" fontId="12" fillId="2" borderId="2" xfId="0" applyNumberFormat="1" applyFont="1" applyFill="1" applyBorder="1" applyAlignment="1">
      <alignment horizontal="left" vertical="center"/>
    </xf>
    <xf numFmtId="4" fontId="2" fillId="4" borderId="2" xfId="0" applyNumberFormat="1" applyFont="1" applyFill="1" applyBorder="1" applyAlignment="1">
      <alignment horizontal="right" vertical="center"/>
    </xf>
    <xf numFmtId="0" fontId="16" fillId="2" borderId="8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left" vertical="top"/>
    </xf>
    <xf numFmtId="4" fontId="17" fillId="2" borderId="2" xfId="0" applyNumberFormat="1" applyFont="1" applyFill="1" applyBorder="1" applyAlignment="1">
      <alignment horizontal="right" vertical="center"/>
    </xf>
    <xf numFmtId="49" fontId="6" fillId="2" borderId="2" xfId="0" applyNumberFormat="1" applyFont="1" applyFill="1" applyBorder="1" applyAlignment="1">
      <alignment horizontal="center" vertical="top"/>
    </xf>
    <xf numFmtId="49" fontId="16" fillId="2" borderId="2" xfId="0" applyNumberFormat="1" applyFont="1" applyFill="1" applyBorder="1" applyAlignment="1">
      <alignment horizontal="left" vertical="center"/>
    </xf>
    <xf numFmtId="0" fontId="16" fillId="5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2" fillId="2" borderId="2" xfId="0" applyFont="1" applyFill="1" applyBorder="1" applyAlignment="1">
      <alignment horizontal="left" vertical="center" wrapText="1"/>
    </xf>
    <xf numFmtId="49" fontId="8" fillId="2" borderId="6" xfId="0" applyNumberFormat="1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/>
    </xf>
    <xf numFmtId="49" fontId="8" fillId="2" borderId="8" xfId="0" applyNumberFormat="1" applyFont="1" applyFill="1" applyBorder="1" applyAlignment="1">
      <alignment horizontal="center" vertical="center"/>
    </xf>
    <xf numFmtId="0" fontId="20" fillId="2" borderId="2" xfId="0" applyNumberFormat="1" applyFont="1" applyFill="1" applyBorder="1" applyAlignment="1">
      <alignment horizontal="left" vertical="top"/>
    </xf>
    <xf numFmtId="0" fontId="20" fillId="2" borderId="2" xfId="0" applyNumberFormat="1" applyFont="1" applyFill="1" applyBorder="1" applyAlignment="1">
      <alignment horizontal="center" vertical="top"/>
    </xf>
    <xf numFmtId="4" fontId="20" fillId="2" borderId="2" xfId="0" applyNumberFormat="1" applyFont="1" applyFill="1" applyBorder="1" applyAlignment="1">
      <alignment horizontal="right" vertical="center"/>
    </xf>
    <xf numFmtId="4" fontId="20" fillId="2" borderId="2" xfId="0" applyNumberFormat="1" applyFont="1" applyFill="1" applyBorder="1"/>
    <xf numFmtId="0" fontId="20" fillId="2" borderId="2" xfId="0" applyFont="1" applyFill="1" applyBorder="1" applyAlignment="1">
      <alignment horizontal="center" vertical="top" wrapText="1"/>
    </xf>
    <xf numFmtId="0" fontId="20" fillId="2" borderId="2" xfId="0" applyFont="1" applyFill="1" applyBorder="1"/>
    <xf numFmtId="4" fontId="20" fillId="2" borderId="2" xfId="0" applyNumberFormat="1" applyFont="1" applyFill="1" applyBorder="1" applyAlignment="1">
      <alignment horizontal="center" vertical="top" wrapText="1"/>
    </xf>
    <xf numFmtId="0" fontId="25" fillId="2" borderId="0" xfId="0" applyFont="1" applyFill="1" applyBorder="1" applyAlignment="1">
      <alignment horizontal="left"/>
    </xf>
    <xf numFmtId="0" fontId="25" fillId="2" borderId="0" xfId="0" applyFont="1" applyFill="1" applyBorder="1" applyAlignment="1">
      <alignment horizontal="left"/>
    </xf>
    <xf numFmtId="4" fontId="25" fillId="2" borderId="0" xfId="0" applyNumberFormat="1" applyFont="1" applyFill="1" applyBorder="1" applyAlignment="1">
      <alignment horizontal="left"/>
    </xf>
    <xf numFmtId="167" fontId="25" fillId="2" borderId="0" xfId="0" applyNumberFormat="1" applyFont="1" applyFill="1" applyBorder="1" applyAlignment="1">
      <alignment horizontal="left"/>
    </xf>
    <xf numFmtId="0" fontId="25" fillId="0" borderId="0" xfId="0" applyFont="1" applyFill="1" applyBorder="1" applyAlignment="1">
      <alignment horizontal="right"/>
    </xf>
    <xf numFmtId="49" fontId="2" fillId="2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top"/>
    </xf>
    <xf numFmtId="168" fontId="2" fillId="2" borderId="0" xfId="0" applyNumberFormat="1" applyFont="1" applyFill="1" applyAlignment="1">
      <alignment horizontal="center" vertical="top"/>
    </xf>
    <xf numFmtId="49" fontId="2" fillId="2" borderId="0" xfId="0" applyNumberFormat="1" applyFont="1" applyFill="1" applyAlignment="1">
      <alignment horizontal="center"/>
    </xf>
    <xf numFmtId="4" fontId="2" fillId="2" borderId="0" xfId="0" applyNumberFormat="1" applyFont="1" applyFill="1"/>
    <xf numFmtId="4" fontId="2" fillId="2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/>
    </xf>
    <xf numFmtId="0" fontId="20" fillId="2" borderId="0" xfId="0" applyFont="1" applyFill="1"/>
    <xf numFmtId="0" fontId="2" fillId="2" borderId="0" xfId="0" applyFont="1" applyFill="1" applyAlignment="1">
      <alignment horizontal="left"/>
    </xf>
    <xf numFmtId="167" fontId="6" fillId="0" borderId="0" xfId="0" applyNumberFormat="1" applyFont="1" applyFill="1" applyBorder="1" applyAlignment="1">
      <alignment horizontal="left" vertical="top" wrapText="1"/>
    </xf>
    <xf numFmtId="0" fontId="6" fillId="0" borderId="0" xfId="2" applyFont="1" applyFill="1" applyAlignment="1">
      <alignment horizontal="left" vertical="top" wrapText="1"/>
    </xf>
    <xf numFmtId="0" fontId="6" fillId="0" borderId="0" xfId="2" applyFont="1" applyFill="1" applyAlignment="1">
      <alignment vertical="top" wrapText="1"/>
    </xf>
    <xf numFmtId="0" fontId="2" fillId="0" borderId="5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27" fillId="0" borderId="6" xfId="0" applyFont="1" applyFill="1" applyBorder="1" applyAlignment="1">
      <alignment horizontal="left" vertical="center" wrapText="1"/>
    </xf>
    <xf numFmtId="0" fontId="2" fillId="0" borderId="7" xfId="2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vertical="center"/>
    </xf>
    <xf numFmtId="0" fontId="2" fillId="0" borderId="8" xfId="2" applyFont="1" applyFill="1" applyBorder="1" applyAlignment="1">
      <alignment horizontal="left" vertical="center" wrapText="1"/>
    </xf>
    <xf numFmtId="173" fontId="2" fillId="0" borderId="2" xfId="0" applyNumberFormat="1" applyFont="1" applyFill="1" applyBorder="1" applyAlignment="1">
      <alignment horizontal="center" vertical="center"/>
    </xf>
    <xf numFmtId="164" fontId="17" fillId="0" borderId="2" xfId="0" applyNumberFormat="1" applyFont="1" applyFill="1" applyBorder="1" applyAlignment="1">
      <alignment horizontal="center" vertical="center"/>
    </xf>
    <xf numFmtId="164" fontId="17" fillId="2" borderId="2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left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171" fontId="2" fillId="0" borderId="2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164" fontId="2" fillId="4" borderId="2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vertical="center" wrapText="1"/>
    </xf>
    <xf numFmtId="164" fontId="15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vertical="top" wrapText="1"/>
    </xf>
    <xf numFmtId="0" fontId="28" fillId="0" borderId="2" xfId="0" applyFont="1" applyFill="1" applyBorder="1" applyAlignment="1">
      <alignment horizontal="left" vertical="center"/>
    </xf>
    <xf numFmtId="49" fontId="6" fillId="2" borderId="6" xfId="0" applyNumberFormat="1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left" vertical="top" wrapText="1"/>
    </xf>
    <xf numFmtId="173" fontId="2" fillId="2" borderId="2" xfId="0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49" fontId="6" fillId="2" borderId="6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0" fontId="15" fillId="2" borderId="7" xfId="0" applyFont="1" applyFill="1" applyBorder="1" applyAlignment="1">
      <alignment horizontal="center" vertical="top" wrapText="1"/>
    </xf>
    <xf numFmtId="49" fontId="6" fillId="2" borderId="8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left" vertical="top"/>
    </xf>
    <xf numFmtId="0" fontId="6" fillId="0" borderId="0" xfId="0" applyNumberFormat="1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top" wrapText="1"/>
    </xf>
    <xf numFmtId="164" fontId="29" fillId="0" borderId="0" xfId="1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/>
    <xf numFmtId="164" fontId="2" fillId="2" borderId="0" xfId="0" applyNumberFormat="1" applyFont="1" applyFill="1" applyBorder="1"/>
    <xf numFmtId="0" fontId="6" fillId="0" borderId="0" xfId="0" applyFont="1" applyFill="1" applyBorder="1"/>
    <xf numFmtId="0" fontId="26" fillId="0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0" fontId="23" fillId="0" borderId="0" xfId="0" applyFont="1" applyFill="1"/>
    <xf numFmtId="0" fontId="2" fillId="0" borderId="2" xfId="2" applyFont="1" applyFill="1" applyBorder="1" applyAlignment="1">
      <alignment horizontal="left" vertical="center" wrapText="1"/>
    </xf>
    <xf numFmtId="0" fontId="9" fillId="0" borderId="2" xfId="0" applyFont="1" applyFill="1" applyBorder="1"/>
    <xf numFmtId="0" fontId="2" fillId="6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14" fontId="2" fillId="0" borderId="2" xfId="2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65" fontId="2" fillId="0" borderId="0" xfId="0" applyNumberFormat="1" applyFont="1" applyFill="1" applyBorder="1"/>
    <xf numFmtId="0" fontId="12" fillId="0" borderId="3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164" fontId="2" fillId="0" borderId="6" xfId="0" applyNumberFormat="1" applyFont="1" applyFill="1" applyBorder="1" applyAlignment="1">
      <alignment horizontal="right" vertical="center"/>
    </xf>
    <xf numFmtId="164" fontId="2" fillId="4" borderId="6" xfId="0" applyNumberFormat="1" applyFont="1" applyFill="1" applyBorder="1" applyAlignment="1">
      <alignment horizontal="right" vertical="center"/>
    </xf>
    <xf numFmtId="164" fontId="2" fillId="2" borderId="6" xfId="0" applyNumberFormat="1" applyFont="1" applyFill="1" applyBorder="1" applyAlignment="1">
      <alignment horizontal="right" vertical="center"/>
    </xf>
    <xf numFmtId="174" fontId="2" fillId="0" borderId="0" xfId="0" applyNumberFormat="1" applyFont="1" applyFill="1"/>
    <xf numFmtId="164" fontId="2" fillId="0" borderId="2" xfId="0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vertical="center" wrapText="1"/>
    </xf>
    <xf numFmtId="49" fontId="20" fillId="0" borderId="2" xfId="0" applyNumberFormat="1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top" wrapText="1"/>
    </xf>
    <xf numFmtId="0" fontId="20" fillId="0" borderId="2" xfId="0" applyFont="1" applyFill="1" applyBorder="1"/>
    <xf numFmtId="0" fontId="20" fillId="0" borderId="2" xfId="0" applyNumberFormat="1" applyFont="1" applyFill="1" applyBorder="1" applyAlignment="1">
      <alignment horizontal="left" vertical="center"/>
    </xf>
    <xf numFmtId="0" fontId="20" fillId="0" borderId="2" xfId="0" applyFont="1" applyFill="1" applyBorder="1" applyAlignment="1">
      <alignment vertical="center" wrapText="1"/>
    </xf>
    <xf numFmtId="0" fontId="20" fillId="0" borderId="3" xfId="0" applyNumberFormat="1" applyFont="1" applyFill="1" applyBorder="1" applyAlignment="1">
      <alignment horizontal="left" vertical="center"/>
    </xf>
    <xf numFmtId="0" fontId="20" fillId="0" borderId="5" xfId="0" applyNumberFormat="1" applyFont="1" applyFill="1" applyBorder="1" applyAlignment="1">
      <alignment horizontal="left" vertical="center"/>
    </xf>
    <xf numFmtId="165" fontId="20" fillId="0" borderId="2" xfId="0" applyNumberFormat="1" applyFont="1" applyFill="1" applyBorder="1" applyAlignment="1">
      <alignment vertical="center" wrapText="1"/>
    </xf>
    <xf numFmtId="0" fontId="30" fillId="0" borderId="0" xfId="0" applyFont="1" applyFill="1" applyBorder="1" applyAlignment="1">
      <alignment horizontal="left" wrapText="1"/>
    </xf>
    <xf numFmtId="0" fontId="30" fillId="0" borderId="0" xfId="0" applyFont="1" applyFill="1" applyBorder="1" applyAlignment="1">
      <alignment horizontal="left"/>
    </xf>
    <xf numFmtId="0" fontId="31" fillId="0" borderId="0" xfId="0" applyFont="1" applyFill="1" applyBorder="1" applyAlignment="1">
      <alignment horizontal="right"/>
    </xf>
    <xf numFmtId="0" fontId="31" fillId="0" borderId="0" xfId="0" applyFont="1" applyFill="1"/>
    <xf numFmtId="0" fontId="31" fillId="0" borderId="0" xfId="0" applyFont="1" applyFill="1" applyAlignment="1">
      <alignment horizontal="center" vertical="center"/>
    </xf>
    <xf numFmtId="165" fontId="31" fillId="0" borderId="0" xfId="0" applyNumberFormat="1" applyFont="1" applyFill="1"/>
    <xf numFmtId="0" fontId="30" fillId="0" borderId="0" xfId="0" applyFont="1" applyFill="1" applyBorder="1" applyAlignment="1">
      <alignment horizontal="right"/>
    </xf>
    <xf numFmtId="0" fontId="6" fillId="0" borderId="0" xfId="2" applyFont="1" applyFill="1" applyAlignment="1">
      <alignment horizontal="right" vertical="top" wrapText="1"/>
    </xf>
    <xf numFmtId="0" fontId="4" fillId="0" borderId="0" xfId="2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vertical="center" wrapText="1"/>
    </xf>
    <xf numFmtId="0" fontId="2" fillId="0" borderId="9" xfId="2" applyFont="1" applyFill="1" applyBorder="1" applyAlignment="1">
      <alignment horizontal="left" vertical="center" wrapText="1"/>
    </xf>
    <xf numFmtId="0" fontId="2" fillId="0" borderId="1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horizontal="left" vertical="center" wrapText="1"/>
    </xf>
    <xf numFmtId="14" fontId="2" fillId="0" borderId="2" xfId="2" applyNumberFormat="1" applyFont="1" applyFill="1" applyBorder="1" applyAlignment="1">
      <alignment vertical="center" wrapText="1"/>
    </xf>
    <xf numFmtId="0" fontId="2" fillId="0" borderId="3" xfId="2" applyFont="1" applyFill="1" applyBorder="1" applyAlignment="1">
      <alignment horizontal="left" vertical="center" wrapText="1"/>
    </xf>
    <xf numFmtId="0" fontId="2" fillId="0" borderId="4" xfId="2" applyFont="1" applyFill="1" applyBorder="1" applyAlignment="1">
      <alignment horizontal="left" vertical="center" wrapText="1"/>
    </xf>
    <xf numFmtId="49" fontId="2" fillId="0" borderId="2" xfId="2" applyNumberFormat="1" applyFont="1" applyFill="1" applyBorder="1" applyAlignment="1">
      <alignment vertical="center"/>
    </xf>
    <xf numFmtId="0" fontId="2" fillId="0" borderId="2" xfId="2" applyNumberFormat="1" applyFont="1" applyFill="1" applyBorder="1" applyAlignment="1">
      <alignment horizontal="center" vertical="top" wrapText="1"/>
    </xf>
    <xf numFmtId="0" fontId="33" fillId="0" borderId="0" xfId="0" applyFont="1" applyFill="1"/>
    <xf numFmtId="0" fontId="34" fillId="0" borderId="0" xfId="0" applyFont="1" applyFill="1"/>
  </cellXfs>
  <cellStyles count="3">
    <cellStyle name="Обычный" xfId="0" builtinId="0"/>
    <cellStyle name="Обычный 2" xfId="2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_2%20&#1082;%20&#1052;&#1055;!%20&#1076;&#1086;%2026.05.20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6;&#1076;&#1087;&#1088;&#1086;&#1075;&#1088;&#1072;&#1084;&#1084;&#1072;%203/&#1055;&#1088;&#1080;&#1083;&#1086;&#1078;&#1077;&#1085;&#1080;&#1077;%202_&#1082;%20&#1087;&#1086;&#1076;&#1087;&#1088;&#1086;&#1075;&#1088;&#1072;&#1084;&#1084;&#1077;%203_&#1043;&#1057;%2026.01.202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103;_1_2%20&#1082;%20&#1087;&#1072;&#1089;&#1087;&#1086;&#1088;&#1090;&#1091;%20&#1052;&#1055;%20&#1043;&#1057;%2024.05.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№2 к МП"/>
      <sheetName val="Лист1"/>
    </sheetNames>
    <sheetDataSet>
      <sheetData sheetId="0">
        <row r="11">
          <cell r="K11">
            <v>312164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роприятия пп 3"/>
      <sheetName val="Лист1"/>
    </sheetNames>
    <sheetDataSet>
      <sheetData sheetId="0">
        <row r="36">
          <cell r="P36">
            <v>8057.4</v>
          </cell>
          <cell r="Q36">
            <v>9820.1</v>
          </cell>
          <cell r="R36">
            <v>9617.1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1 к пасп МП"/>
      <sheetName val="прил2 к пасп МП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7"/>
  <sheetViews>
    <sheetView zoomScale="55" zoomScaleNormal="55" workbookViewId="0">
      <selection activeCell="Q25" sqref="Q25"/>
    </sheetView>
  </sheetViews>
  <sheetFormatPr defaultColWidth="9.28515625" defaultRowHeight="15.75" x14ac:dyDescent="0.25"/>
  <cols>
    <col min="1" max="1" width="18.5703125" style="1" customWidth="1"/>
    <col min="2" max="2" width="22.28515625" style="1" customWidth="1"/>
    <col min="3" max="3" width="25.28515625" style="1" customWidth="1"/>
    <col min="4" max="7" width="9.28515625" style="1"/>
    <col min="8" max="8" width="15.140625" style="1" customWidth="1"/>
    <col min="9" max="10" width="15.42578125" style="1" customWidth="1"/>
    <col min="11" max="11" width="15.42578125" style="57" customWidth="1"/>
    <col min="12" max="15" width="15.42578125" style="1" customWidth="1"/>
    <col min="16" max="19" width="15.42578125" style="58" customWidth="1"/>
    <col min="20" max="20" width="17" style="1" customWidth="1"/>
    <col min="21" max="21" width="15.28515625" style="1" bestFit="1" customWidth="1"/>
    <col min="22" max="16384" width="9.28515625" style="1"/>
  </cols>
  <sheetData>
    <row r="1" spans="1:21" ht="58.5" customHeight="1" x14ac:dyDescent="0.25">
      <c r="J1" s="2"/>
      <c r="K1" s="3"/>
      <c r="L1" s="4"/>
      <c r="M1" s="5" t="s">
        <v>0</v>
      </c>
      <c r="N1" s="5"/>
      <c r="O1" s="5"/>
      <c r="P1" s="5"/>
      <c r="Q1" s="5"/>
      <c r="R1" s="5"/>
      <c r="S1" s="5"/>
      <c r="T1" s="5"/>
    </row>
    <row r="2" spans="1:21" ht="30" customHeight="1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1" ht="18.75" customHeight="1" x14ac:dyDescent="0.25">
      <c r="A3" s="7" t="s">
        <v>2</v>
      </c>
      <c r="B3" s="7" t="s">
        <v>3</v>
      </c>
      <c r="C3" s="7" t="s">
        <v>4</v>
      </c>
      <c r="D3" s="7" t="s">
        <v>5</v>
      </c>
      <c r="E3" s="7"/>
      <c r="F3" s="7"/>
      <c r="G3" s="7"/>
      <c r="H3" s="8" t="s">
        <v>6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10"/>
    </row>
    <row r="4" spans="1:21" ht="49.5" customHeight="1" x14ac:dyDescent="0.25">
      <c r="A4" s="7"/>
      <c r="B4" s="7"/>
      <c r="C4" s="7"/>
      <c r="D4" s="11" t="s">
        <v>7</v>
      </c>
      <c r="E4" s="11" t="s">
        <v>8</v>
      </c>
      <c r="F4" s="11" t="s">
        <v>9</v>
      </c>
      <c r="G4" s="11" t="s">
        <v>10</v>
      </c>
      <c r="H4" s="11">
        <v>2014</v>
      </c>
      <c r="I4" s="11">
        <v>2015</v>
      </c>
      <c r="J4" s="11">
        <v>2016</v>
      </c>
      <c r="K4" s="12">
        <v>2017</v>
      </c>
      <c r="L4" s="11">
        <v>2018</v>
      </c>
      <c r="M4" s="12">
        <v>2019</v>
      </c>
      <c r="N4" s="12">
        <v>2020</v>
      </c>
      <c r="O4" s="12">
        <v>2021</v>
      </c>
      <c r="P4" s="13">
        <v>2022</v>
      </c>
      <c r="Q4" s="13">
        <v>2023</v>
      </c>
      <c r="R4" s="13">
        <v>2024</v>
      </c>
      <c r="S4" s="13">
        <v>2025</v>
      </c>
      <c r="T4" s="11" t="s">
        <v>11</v>
      </c>
    </row>
    <row r="5" spans="1:21" ht="48" customHeight="1" x14ac:dyDescent="0.25">
      <c r="A5" s="14" t="s">
        <v>12</v>
      </c>
      <c r="B5" s="15" t="s">
        <v>13</v>
      </c>
      <c r="C5" s="16" t="s">
        <v>14</v>
      </c>
      <c r="D5" s="17" t="s">
        <v>15</v>
      </c>
      <c r="E5" s="17" t="s">
        <v>15</v>
      </c>
      <c r="F5" s="17" t="s">
        <v>15</v>
      </c>
      <c r="G5" s="17" t="s">
        <v>15</v>
      </c>
      <c r="H5" s="18">
        <f t="shared" ref="H5:S5" si="0">H7+H8+H9+H10</f>
        <v>447829.6</v>
      </c>
      <c r="I5" s="18">
        <f t="shared" si="0"/>
        <v>473625.60000000003</v>
      </c>
      <c r="J5" s="19">
        <f t="shared" si="0"/>
        <v>511729.7</v>
      </c>
      <c r="K5" s="19">
        <f t="shared" si="0"/>
        <v>523227.99999999994</v>
      </c>
      <c r="L5" s="19">
        <f t="shared" si="0"/>
        <v>549349</v>
      </c>
      <c r="M5" s="18">
        <f t="shared" si="0"/>
        <v>614389.60000000009</v>
      </c>
      <c r="N5" s="18">
        <f t="shared" si="0"/>
        <v>635052.30000000005</v>
      </c>
      <c r="O5" s="18">
        <f t="shared" si="0"/>
        <v>730302.4</v>
      </c>
      <c r="P5" s="18">
        <f t="shared" si="0"/>
        <v>859995.3</v>
      </c>
      <c r="Q5" s="18">
        <f t="shared" si="0"/>
        <v>866783.10000000009</v>
      </c>
      <c r="R5" s="18">
        <f t="shared" si="0"/>
        <v>804960.8</v>
      </c>
      <c r="S5" s="18">
        <f t="shared" si="0"/>
        <v>805242.3</v>
      </c>
      <c r="T5" s="18">
        <f>SUM(H5:S5)</f>
        <v>7822487.6999999993</v>
      </c>
    </row>
    <row r="6" spans="1:21" x14ac:dyDescent="0.25">
      <c r="A6" s="20"/>
      <c r="B6" s="21"/>
      <c r="C6" s="16" t="s">
        <v>16</v>
      </c>
      <c r="D6" s="22"/>
      <c r="E6" s="22"/>
      <c r="F6" s="22"/>
      <c r="G6" s="22"/>
      <c r="H6" s="22"/>
      <c r="I6" s="23"/>
      <c r="J6" s="23"/>
      <c r="K6" s="24"/>
      <c r="L6" s="24"/>
      <c r="M6" s="23"/>
      <c r="N6" s="23"/>
      <c r="O6" s="23"/>
      <c r="P6" s="18">
        <f>O6</f>
        <v>0</v>
      </c>
      <c r="Q6" s="18"/>
      <c r="R6" s="18">
        <f>Q6</f>
        <v>0</v>
      </c>
      <c r="S6" s="18">
        <f>R6</f>
        <v>0</v>
      </c>
      <c r="T6" s="18">
        <f t="shared" ref="T6:T26" si="1">SUM(H6:S6)</f>
        <v>0</v>
      </c>
    </row>
    <row r="7" spans="1:21" ht="51.75" customHeight="1" x14ac:dyDescent="0.25">
      <c r="A7" s="20"/>
      <c r="B7" s="21"/>
      <c r="C7" s="16" t="s">
        <v>17</v>
      </c>
      <c r="D7" s="25" t="s">
        <v>18</v>
      </c>
      <c r="E7" s="17" t="s">
        <v>15</v>
      </c>
      <c r="F7" s="17" t="s">
        <v>15</v>
      </c>
      <c r="G7" s="17" t="s">
        <v>15</v>
      </c>
      <c r="H7" s="26">
        <f t="shared" ref="H7:R7" si="2">H13+H18+H21+H24</f>
        <v>426153.3</v>
      </c>
      <c r="I7" s="26">
        <f t="shared" si="2"/>
        <v>451251.20000000001</v>
      </c>
      <c r="J7" s="26">
        <f t="shared" si="2"/>
        <v>486929.2</v>
      </c>
      <c r="K7" s="27">
        <f t="shared" si="2"/>
        <v>498675.49999999994</v>
      </c>
      <c r="L7" s="27">
        <f t="shared" si="2"/>
        <v>523112</v>
      </c>
      <c r="M7" s="26">
        <f t="shared" si="2"/>
        <v>587737.9</v>
      </c>
      <c r="N7" s="26">
        <f>N13+N18+N21+N24</f>
        <v>601251.90000000014</v>
      </c>
      <c r="O7" s="26">
        <f t="shared" si="2"/>
        <v>702683.6</v>
      </c>
      <c r="P7" s="26">
        <f>P13+P18+P21+P2+P24</f>
        <v>805965.6</v>
      </c>
      <c r="Q7" s="26">
        <f t="shared" si="2"/>
        <v>813761.3</v>
      </c>
      <c r="R7" s="26">
        <f t="shared" si="2"/>
        <v>758796.80000000005</v>
      </c>
      <c r="S7" s="26">
        <f>S13+S18+S21+S24</f>
        <v>759078.3</v>
      </c>
      <c r="T7" s="18">
        <f t="shared" si="1"/>
        <v>7415396.5999999987</v>
      </c>
      <c r="U7" s="28"/>
    </row>
    <row r="8" spans="1:21" ht="49.5" hidden="1" customHeight="1" x14ac:dyDescent="0.25">
      <c r="A8" s="20"/>
      <c r="B8" s="21"/>
      <c r="C8" s="29" t="s">
        <v>19</v>
      </c>
      <c r="D8" s="30" t="s">
        <v>20</v>
      </c>
      <c r="E8" s="17" t="s">
        <v>15</v>
      </c>
      <c r="F8" s="17" t="s">
        <v>15</v>
      </c>
      <c r="G8" s="17" t="s">
        <v>15</v>
      </c>
      <c r="H8" s="26"/>
      <c r="I8" s="26"/>
      <c r="J8" s="26"/>
      <c r="K8" s="27"/>
      <c r="L8" s="27"/>
      <c r="M8" s="26">
        <f>M17</f>
        <v>0</v>
      </c>
      <c r="N8" s="26"/>
      <c r="O8" s="26"/>
      <c r="P8" s="18">
        <f>O8</f>
        <v>0</v>
      </c>
      <c r="Q8" s="18"/>
      <c r="R8" s="18">
        <f>Q8</f>
        <v>0</v>
      </c>
      <c r="S8" s="18">
        <f>R8</f>
        <v>0</v>
      </c>
      <c r="T8" s="18">
        <f t="shared" si="1"/>
        <v>0</v>
      </c>
      <c r="U8" s="28"/>
    </row>
    <row r="9" spans="1:21" ht="39.950000000000003" customHeight="1" x14ac:dyDescent="0.25">
      <c r="A9" s="20"/>
      <c r="B9" s="21"/>
      <c r="C9" s="31" t="s">
        <v>21</v>
      </c>
      <c r="D9" s="25" t="s">
        <v>22</v>
      </c>
      <c r="E9" s="17" t="s">
        <v>15</v>
      </c>
      <c r="F9" s="17" t="s">
        <v>15</v>
      </c>
      <c r="G9" s="17" t="s">
        <v>15</v>
      </c>
      <c r="H9" s="26">
        <f t="shared" ref="H9:N9" si="3">H26</f>
        <v>14153.1</v>
      </c>
      <c r="I9" s="26">
        <f t="shared" si="3"/>
        <v>14936.4</v>
      </c>
      <c r="J9" s="26">
        <f t="shared" si="3"/>
        <v>15316.7</v>
      </c>
      <c r="K9" s="27">
        <f t="shared" si="3"/>
        <v>15372.5</v>
      </c>
      <c r="L9" s="27">
        <f t="shared" si="3"/>
        <v>15995.1</v>
      </c>
      <c r="M9" s="26">
        <f t="shared" si="3"/>
        <v>16743.8</v>
      </c>
      <c r="N9" s="26">
        <f t="shared" si="3"/>
        <v>18520.7</v>
      </c>
      <c r="O9" s="26">
        <f>O26</f>
        <v>22041.3</v>
      </c>
      <c r="P9" s="26">
        <f>P26</f>
        <v>26937.3</v>
      </c>
      <c r="Q9" s="26">
        <f>Q26</f>
        <v>27349</v>
      </c>
      <c r="R9" s="26">
        <f>R26</f>
        <v>26590.3</v>
      </c>
      <c r="S9" s="26">
        <f>S26</f>
        <v>26590.3</v>
      </c>
      <c r="T9" s="18">
        <f t="shared" si="1"/>
        <v>240546.49999999997</v>
      </c>
      <c r="U9" s="28"/>
    </row>
    <row r="10" spans="1:21" ht="39.950000000000003" customHeight="1" x14ac:dyDescent="0.25">
      <c r="A10" s="32"/>
      <c r="B10" s="33"/>
      <c r="C10" s="31" t="s">
        <v>19</v>
      </c>
      <c r="D10" s="25" t="s">
        <v>20</v>
      </c>
      <c r="E10" s="17" t="s">
        <v>15</v>
      </c>
      <c r="F10" s="17" t="s">
        <v>15</v>
      </c>
      <c r="G10" s="17" t="s">
        <v>15</v>
      </c>
      <c r="H10" s="26">
        <f t="shared" ref="H10:N10" si="4">H25</f>
        <v>7523.2</v>
      </c>
      <c r="I10" s="26">
        <f t="shared" si="4"/>
        <v>7438</v>
      </c>
      <c r="J10" s="26">
        <f t="shared" si="4"/>
        <v>9483.7999999999993</v>
      </c>
      <c r="K10" s="27">
        <f t="shared" si="4"/>
        <v>9180</v>
      </c>
      <c r="L10" s="27">
        <f t="shared" si="4"/>
        <v>10241.9</v>
      </c>
      <c r="M10" s="26">
        <f t="shared" si="4"/>
        <v>9907.9</v>
      </c>
      <c r="N10" s="26">
        <f t="shared" si="4"/>
        <v>15279.7</v>
      </c>
      <c r="O10" s="26">
        <f>O25</f>
        <v>5577.5</v>
      </c>
      <c r="P10" s="26">
        <f>P25</f>
        <v>27092.400000000001</v>
      </c>
      <c r="Q10" s="26">
        <f>Q25</f>
        <v>25672.799999999999</v>
      </c>
      <c r="R10" s="26">
        <f>R25</f>
        <v>19573.7</v>
      </c>
      <c r="S10" s="26">
        <f>S25</f>
        <v>19573.7</v>
      </c>
      <c r="T10" s="18">
        <f t="shared" si="1"/>
        <v>166544.6</v>
      </c>
      <c r="U10" s="28"/>
    </row>
    <row r="11" spans="1:21" ht="46.5" customHeight="1" x14ac:dyDescent="0.25">
      <c r="A11" s="34" t="s">
        <v>23</v>
      </c>
      <c r="B11" s="34" t="s">
        <v>24</v>
      </c>
      <c r="C11" s="31" t="s">
        <v>14</v>
      </c>
      <c r="D11" s="35" t="s">
        <v>15</v>
      </c>
      <c r="E11" s="36" t="s">
        <v>15</v>
      </c>
      <c r="F11" s="35" t="s">
        <v>15</v>
      </c>
      <c r="G11" s="37" t="s">
        <v>15</v>
      </c>
      <c r="H11" s="26">
        <f t="shared" ref="H11:M11" si="5">H13+H14</f>
        <v>198091.6</v>
      </c>
      <c r="I11" s="26">
        <f t="shared" si="5"/>
        <v>204824.6</v>
      </c>
      <c r="J11" s="26">
        <f t="shared" si="5"/>
        <v>219030.5</v>
      </c>
      <c r="K11" s="27">
        <f t="shared" si="5"/>
        <v>218633.1</v>
      </c>
      <c r="L11" s="27">
        <f t="shared" si="5"/>
        <v>229336.9</v>
      </c>
      <c r="M11" s="26">
        <f t="shared" si="5"/>
        <v>267495.40000000002</v>
      </c>
      <c r="N11" s="26">
        <f>N13+N14</f>
        <v>275550.40000000002</v>
      </c>
      <c r="O11" s="26">
        <f>O13+O14</f>
        <v>310856.8</v>
      </c>
      <c r="P11" s="26">
        <f>P13+P14</f>
        <v>356848.4</v>
      </c>
      <c r="Q11" s="18">
        <f>Q13</f>
        <v>334538.2</v>
      </c>
      <c r="R11" s="18">
        <f>R13</f>
        <v>321243</v>
      </c>
      <c r="S11" s="18">
        <f>S13</f>
        <v>321243</v>
      </c>
      <c r="T11" s="18">
        <f t="shared" si="1"/>
        <v>3257691.9000000004</v>
      </c>
    </row>
    <row r="12" spans="1:21" x14ac:dyDescent="0.25">
      <c r="A12" s="34"/>
      <c r="B12" s="34"/>
      <c r="C12" s="31" t="s">
        <v>16</v>
      </c>
      <c r="D12" s="38"/>
      <c r="E12" s="39"/>
      <c r="F12" s="38"/>
      <c r="G12" s="40"/>
      <c r="H12" s="40"/>
      <c r="I12" s="26"/>
      <c r="J12" s="26"/>
      <c r="K12" s="27"/>
      <c r="L12" s="27"/>
      <c r="M12" s="26"/>
      <c r="N12" s="26"/>
      <c r="O12" s="26"/>
      <c r="P12" s="18">
        <f>O12</f>
        <v>0</v>
      </c>
      <c r="Q12" s="18"/>
      <c r="R12" s="18">
        <f>Q12</f>
        <v>0</v>
      </c>
      <c r="S12" s="18">
        <f>R12</f>
        <v>0</v>
      </c>
      <c r="T12" s="18">
        <f t="shared" si="1"/>
        <v>0</v>
      </c>
    </row>
    <row r="13" spans="1:21" ht="55.5" customHeight="1" x14ac:dyDescent="0.25">
      <c r="A13" s="34"/>
      <c r="B13" s="34"/>
      <c r="C13" s="16" t="s">
        <v>17</v>
      </c>
      <c r="D13" s="36" t="s">
        <v>18</v>
      </c>
      <c r="E13" s="36" t="s">
        <v>15</v>
      </c>
      <c r="F13" s="35" t="s">
        <v>15</v>
      </c>
      <c r="G13" s="37" t="s">
        <v>15</v>
      </c>
      <c r="H13" s="26">
        <v>198091.6</v>
      </c>
      <c r="I13" s="26">
        <v>204824.6</v>
      </c>
      <c r="J13" s="26">
        <v>219030.5</v>
      </c>
      <c r="K13" s="27">
        <v>218633.1</v>
      </c>
      <c r="L13" s="27">
        <v>229336.9</v>
      </c>
      <c r="M13" s="26">
        <v>267495.40000000002</v>
      </c>
      <c r="N13" s="26">
        <v>275550.40000000002</v>
      </c>
      <c r="O13" s="26">
        <v>310856.8</v>
      </c>
      <c r="P13" s="18">
        <v>356848.4</v>
      </c>
      <c r="Q13" s="41">
        <v>334538.2</v>
      </c>
      <c r="R13" s="18">
        <v>321243</v>
      </c>
      <c r="S13" s="18">
        <v>321243</v>
      </c>
      <c r="T13" s="18">
        <f t="shared" si="1"/>
        <v>3257691.9000000004</v>
      </c>
    </row>
    <row r="14" spans="1:21" ht="63" x14ac:dyDescent="0.25">
      <c r="A14" s="34"/>
      <c r="B14" s="34"/>
      <c r="C14" s="16" t="s">
        <v>25</v>
      </c>
      <c r="D14" s="36" t="s">
        <v>26</v>
      </c>
      <c r="E14" s="36" t="s">
        <v>15</v>
      </c>
      <c r="F14" s="35" t="s">
        <v>15</v>
      </c>
      <c r="G14" s="37" t="s">
        <v>15</v>
      </c>
      <c r="H14" s="26"/>
      <c r="I14" s="26"/>
      <c r="J14" s="26">
        <v>0</v>
      </c>
      <c r="K14" s="27"/>
      <c r="L14" s="27"/>
      <c r="M14" s="26"/>
      <c r="N14" s="26"/>
      <c r="O14" s="26"/>
      <c r="P14" s="18"/>
      <c r="Q14" s="18"/>
      <c r="R14" s="18">
        <f>Q14</f>
        <v>0</v>
      </c>
      <c r="S14" s="18">
        <f>R14</f>
        <v>0</v>
      </c>
      <c r="T14" s="18">
        <f t="shared" si="1"/>
        <v>0</v>
      </c>
    </row>
    <row r="15" spans="1:21" ht="47.25" x14ac:dyDescent="0.25">
      <c r="A15" s="42" t="s">
        <v>27</v>
      </c>
      <c r="B15" s="43" t="s">
        <v>28</v>
      </c>
      <c r="C15" s="31" t="s">
        <v>14</v>
      </c>
      <c r="D15" s="35" t="s">
        <v>15</v>
      </c>
      <c r="E15" s="36" t="s">
        <v>15</v>
      </c>
      <c r="F15" s="35" t="s">
        <v>15</v>
      </c>
      <c r="G15" s="37" t="s">
        <v>15</v>
      </c>
      <c r="H15" s="26">
        <f t="shared" ref="H15:O15" si="6">H18</f>
        <v>214621.9</v>
      </c>
      <c r="I15" s="26">
        <f t="shared" si="6"/>
        <v>231479.1</v>
      </c>
      <c r="J15" s="26">
        <f t="shared" si="6"/>
        <v>252889.60000000001</v>
      </c>
      <c r="K15" s="27">
        <f t="shared" si="6"/>
        <v>262736.59999999998</v>
      </c>
      <c r="L15" s="27">
        <f t="shared" si="6"/>
        <v>275850</v>
      </c>
      <c r="M15" s="26">
        <f>M17+M18</f>
        <v>294091.2</v>
      </c>
      <c r="N15" s="26">
        <f t="shared" si="6"/>
        <v>299894.2</v>
      </c>
      <c r="O15" s="26">
        <f t="shared" si="6"/>
        <v>353644</v>
      </c>
      <c r="P15" s="18">
        <f>P18</f>
        <v>407487.9</v>
      </c>
      <c r="Q15" s="18">
        <f>Q18</f>
        <v>433812.7</v>
      </c>
      <c r="R15" s="18">
        <f>R18</f>
        <v>395171.3</v>
      </c>
      <c r="S15" s="18">
        <f>S18</f>
        <v>395452.8</v>
      </c>
      <c r="T15" s="18">
        <f t="shared" si="1"/>
        <v>3817131.2999999993</v>
      </c>
    </row>
    <row r="16" spans="1:21" x14ac:dyDescent="0.25">
      <c r="A16" s="44"/>
      <c r="B16" s="45"/>
      <c r="C16" s="31" t="s">
        <v>16</v>
      </c>
      <c r="D16" s="38"/>
      <c r="E16" s="39"/>
      <c r="F16" s="38"/>
      <c r="G16" s="40"/>
      <c r="H16" s="26"/>
      <c r="I16" s="26"/>
      <c r="J16" s="26"/>
      <c r="K16" s="27"/>
      <c r="L16" s="27"/>
      <c r="M16" s="26"/>
      <c r="N16" s="26"/>
      <c r="O16" s="26"/>
      <c r="P16" s="18"/>
      <c r="Q16" s="18"/>
      <c r="R16" s="18">
        <f>Q16</f>
        <v>0</v>
      </c>
      <c r="S16" s="18">
        <f>R16</f>
        <v>0</v>
      </c>
      <c r="T16" s="18">
        <f t="shared" si="1"/>
        <v>0</v>
      </c>
    </row>
    <row r="17" spans="1:20" ht="31.5" hidden="1" x14ac:dyDescent="0.25">
      <c r="A17" s="44"/>
      <c r="B17" s="45"/>
      <c r="C17" s="29" t="s">
        <v>19</v>
      </c>
      <c r="D17" s="30" t="s">
        <v>20</v>
      </c>
      <c r="E17" s="17" t="s">
        <v>15</v>
      </c>
      <c r="F17" s="17" t="s">
        <v>15</v>
      </c>
      <c r="G17" s="17" t="s">
        <v>15</v>
      </c>
      <c r="H17" s="26"/>
      <c r="I17" s="26"/>
      <c r="J17" s="26"/>
      <c r="K17" s="27"/>
      <c r="L17" s="27"/>
      <c r="M17" s="26">
        <v>0</v>
      </c>
      <c r="N17" s="26"/>
      <c r="O17" s="26">
        <f>'[1]Прил №2 к МП'!$K$11</f>
        <v>312164</v>
      </c>
      <c r="P17" s="18">
        <f>O17</f>
        <v>312164</v>
      </c>
      <c r="Q17" s="18"/>
      <c r="R17" s="18">
        <f>Q17</f>
        <v>0</v>
      </c>
      <c r="S17" s="18">
        <f>R17</f>
        <v>0</v>
      </c>
      <c r="T17" s="18">
        <f t="shared" si="1"/>
        <v>624328</v>
      </c>
    </row>
    <row r="18" spans="1:20" ht="50.25" customHeight="1" x14ac:dyDescent="0.25">
      <c r="A18" s="44"/>
      <c r="B18" s="46"/>
      <c r="C18" s="16" t="s">
        <v>17</v>
      </c>
      <c r="D18" s="47">
        <v>975</v>
      </c>
      <c r="E18" s="36" t="s">
        <v>15</v>
      </c>
      <c r="F18" s="35" t="s">
        <v>15</v>
      </c>
      <c r="G18" s="37" t="s">
        <v>15</v>
      </c>
      <c r="H18" s="48">
        <v>214621.9</v>
      </c>
      <c r="I18" s="26">
        <v>231479.1</v>
      </c>
      <c r="J18" s="26">
        <v>252889.60000000001</v>
      </c>
      <c r="K18" s="27">
        <v>262736.59999999998</v>
      </c>
      <c r="L18" s="27">
        <v>275850</v>
      </c>
      <c r="M18" s="26">
        <v>294091.2</v>
      </c>
      <c r="N18" s="26">
        <v>299894.2</v>
      </c>
      <c r="O18" s="26">
        <v>353644</v>
      </c>
      <c r="P18" s="18">
        <v>407487.9</v>
      </c>
      <c r="Q18" s="41">
        <v>433812.7</v>
      </c>
      <c r="R18" s="18">
        <v>395171.3</v>
      </c>
      <c r="S18" s="18">
        <v>395452.8</v>
      </c>
      <c r="T18" s="18">
        <f>SUM(H18:S18)</f>
        <v>3817131.2999999993</v>
      </c>
    </row>
    <row r="19" spans="1:20" ht="47.25" customHeight="1" x14ac:dyDescent="0.25">
      <c r="A19" s="42" t="s">
        <v>29</v>
      </c>
      <c r="B19" s="43" t="s">
        <v>30</v>
      </c>
      <c r="C19" s="31" t="s">
        <v>14</v>
      </c>
      <c r="D19" s="36" t="s">
        <v>18</v>
      </c>
      <c r="E19" s="36" t="s">
        <v>15</v>
      </c>
      <c r="F19" s="35" t="s">
        <v>15</v>
      </c>
      <c r="G19" s="37" t="s">
        <v>15</v>
      </c>
      <c r="H19" s="26">
        <f t="shared" ref="H19:N19" si="7">H21</f>
        <v>6990.7</v>
      </c>
      <c r="I19" s="26">
        <f t="shared" si="7"/>
        <v>7764.9</v>
      </c>
      <c r="J19" s="26">
        <f t="shared" si="7"/>
        <v>7414.4</v>
      </c>
      <c r="K19" s="27">
        <f t="shared" si="7"/>
        <v>8058.3</v>
      </c>
      <c r="L19" s="27">
        <f t="shared" si="7"/>
        <v>7980.8</v>
      </c>
      <c r="M19" s="26">
        <f t="shared" si="7"/>
        <v>8394.1</v>
      </c>
      <c r="N19" s="26">
        <f t="shared" si="7"/>
        <v>0</v>
      </c>
      <c r="O19" s="26">
        <f>O21</f>
        <v>9059.7000000000007</v>
      </c>
      <c r="P19" s="26">
        <f>P21</f>
        <v>8995.6</v>
      </c>
      <c r="Q19" s="26">
        <f>Q21</f>
        <v>11145.5</v>
      </c>
      <c r="R19" s="18">
        <f>R21</f>
        <v>9617.1</v>
      </c>
      <c r="S19" s="18">
        <f>R19</f>
        <v>9617.1</v>
      </c>
      <c r="T19" s="18">
        <f t="shared" si="1"/>
        <v>95038.200000000012</v>
      </c>
    </row>
    <row r="20" spans="1:20" x14ac:dyDescent="0.25">
      <c r="A20" s="44"/>
      <c r="B20" s="45"/>
      <c r="C20" s="31" t="s">
        <v>16</v>
      </c>
      <c r="D20" s="38"/>
      <c r="E20" s="39"/>
      <c r="F20" s="38"/>
      <c r="G20" s="40"/>
      <c r="H20" s="26"/>
      <c r="I20" s="26"/>
      <c r="J20" s="26"/>
      <c r="K20" s="27"/>
      <c r="L20" s="27"/>
      <c r="M20" s="26"/>
      <c r="N20" s="26"/>
      <c r="O20" s="26"/>
      <c r="P20" s="18">
        <f>O20</f>
        <v>0</v>
      </c>
      <c r="Q20" s="18"/>
      <c r="R20" s="18">
        <f>Q20</f>
        <v>0</v>
      </c>
      <c r="S20" s="18">
        <f>R20</f>
        <v>0</v>
      </c>
      <c r="T20" s="18">
        <f t="shared" si="1"/>
        <v>0</v>
      </c>
    </row>
    <row r="21" spans="1:20" ht="55.5" customHeight="1" x14ac:dyDescent="0.25">
      <c r="A21" s="44"/>
      <c r="B21" s="46"/>
      <c r="C21" s="16" t="s">
        <v>17</v>
      </c>
      <c r="D21" s="49">
        <v>975</v>
      </c>
      <c r="E21" s="50" t="s">
        <v>15</v>
      </c>
      <c r="F21" s="49" t="s">
        <v>15</v>
      </c>
      <c r="G21" s="51" t="s">
        <v>15</v>
      </c>
      <c r="H21" s="26">
        <v>6990.7</v>
      </c>
      <c r="I21" s="26">
        <v>7764.9</v>
      </c>
      <c r="J21" s="26">
        <v>7414.4</v>
      </c>
      <c r="K21" s="27">
        <v>8058.3</v>
      </c>
      <c r="L21" s="27">
        <v>7980.8</v>
      </c>
      <c r="M21" s="26">
        <v>8394.1</v>
      </c>
      <c r="N21" s="26"/>
      <c r="O21" s="26">
        <v>9059.7000000000007</v>
      </c>
      <c r="P21" s="26">
        <f>8057.4+938.2</f>
        <v>8995.6</v>
      </c>
      <c r="Q21" s="52">
        <v>11145.5</v>
      </c>
      <c r="R21" s="18">
        <v>9617.1</v>
      </c>
      <c r="S21" s="18">
        <v>9617.1</v>
      </c>
      <c r="T21" s="18">
        <f t="shared" si="1"/>
        <v>95038.200000000012</v>
      </c>
    </row>
    <row r="22" spans="1:20" ht="47.25" customHeight="1" x14ac:dyDescent="0.25">
      <c r="A22" s="53" t="s">
        <v>31</v>
      </c>
      <c r="B22" s="43" t="s">
        <v>32</v>
      </c>
      <c r="C22" s="31" t="s">
        <v>14</v>
      </c>
      <c r="D22" s="35"/>
      <c r="E22" s="36"/>
      <c r="F22" s="35"/>
      <c r="G22" s="37"/>
      <c r="H22" s="26">
        <f t="shared" ref="H22:S22" si="8">H24+H25+H26</f>
        <v>28125.4</v>
      </c>
      <c r="I22" s="26">
        <f t="shared" si="8"/>
        <v>29557</v>
      </c>
      <c r="J22" s="26">
        <f t="shared" si="8"/>
        <v>32395.200000000001</v>
      </c>
      <c r="K22" s="27">
        <f>K24+K25+K26</f>
        <v>33800</v>
      </c>
      <c r="L22" s="27">
        <f>L24+L25+L26</f>
        <v>36181.299999999996</v>
      </c>
      <c r="M22" s="26">
        <f t="shared" si="8"/>
        <v>44408.899999999994</v>
      </c>
      <c r="N22" s="26">
        <f t="shared" si="8"/>
        <v>59607.7</v>
      </c>
      <c r="O22" s="26">
        <f t="shared" si="8"/>
        <v>56741.900000000009</v>
      </c>
      <c r="P22" s="26">
        <f t="shared" si="8"/>
        <v>86663.400000000009</v>
      </c>
      <c r="Q22" s="18">
        <f t="shared" si="8"/>
        <v>87286.7</v>
      </c>
      <c r="R22" s="18">
        <f t="shared" si="8"/>
        <v>78929.400000000009</v>
      </c>
      <c r="S22" s="18">
        <f t="shared" si="8"/>
        <v>78929.400000000009</v>
      </c>
      <c r="T22" s="18">
        <f t="shared" si="1"/>
        <v>652626.30000000005</v>
      </c>
    </row>
    <row r="23" spans="1:20" x14ac:dyDescent="0.25">
      <c r="A23" s="53"/>
      <c r="B23" s="45"/>
      <c r="C23" s="31" t="s">
        <v>16</v>
      </c>
      <c r="D23" s="38"/>
      <c r="E23" s="39"/>
      <c r="F23" s="38"/>
      <c r="G23" s="40"/>
      <c r="H23" s="26"/>
      <c r="I23" s="26"/>
      <c r="J23" s="26"/>
      <c r="K23" s="27"/>
      <c r="L23" s="27"/>
      <c r="M23" s="26"/>
      <c r="N23" s="26"/>
      <c r="O23" s="26"/>
      <c r="P23" s="18">
        <f>O23</f>
        <v>0</v>
      </c>
      <c r="Q23" s="18"/>
      <c r="R23" s="18">
        <f>Q23</f>
        <v>0</v>
      </c>
      <c r="S23" s="18">
        <f>R23</f>
        <v>0</v>
      </c>
      <c r="T23" s="18">
        <f t="shared" si="1"/>
        <v>0</v>
      </c>
    </row>
    <row r="24" spans="1:20" ht="48.75" customHeight="1" x14ac:dyDescent="0.25">
      <c r="A24" s="53"/>
      <c r="B24" s="45"/>
      <c r="C24" s="16" t="s">
        <v>17</v>
      </c>
      <c r="D24" s="36" t="s">
        <v>18</v>
      </c>
      <c r="E24" s="36" t="s">
        <v>15</v>
      </c>
      <c r="F24" s="35"/>
      <c r="G24" s="37"/>
      <c r="H24" s="26">
        <v>6449.1</v>
      </c>
      <c r="I24" s="26">
        <v>7182.6</v>
      </c>
      <c r="J24" s="26">
        <v>7594.7</v>
      </c>
      <c r="K24" s="27">
        <v>9247.5</v>
      </c>
      <c r="L24" s="27">
        <v>9944.2999999999993</v>
      </c>
      <c r="M24" s="26">
        <f>44408.9-M25-M26</f>
        <v>17757.2</v>
      </c>
      <c r="N24" s="26">
        <v>25807.3</v>
      </c>
      <c r="O24" s="26">
        <f>56741.9-O25-O26</f>
        <v>29123.100000000002</v>
      </c>
      <c r="P24" s="18">
        <v>32633.7</v>
      </c>
      <c r="Q24" s="41">
        <v>34264.9</v>
      </c>
      <c r="R24" s="18">
        <v>32765.4</v>
      </c>
      <c r="S24" s="18">
        <v>32765.4</v>
      </c>
      <c r="T24" s="18">
        <f t="shared" si="1"/>
        <v>245535.19999999998</v>
      </c>
    </row>
    <row r="25" spans="1:20" ht="39" customHeight="1" x14ac:dyDescent="0.25">
      <c r="A25" s="53"/>
      <c r="B25" s="45"/>
      <c r="C25" s="31" t="s">
        <v>19</v>
      </c>
      <c r="D25" s="35">
        <v>906</v>
      </c>
      <c r="E25" s="36" t="s">
        <v>15</v>
      </c>
      <c r="F25" s="35"/>
      <c r="G25" s="35"/>
      <c r="H25" s="27">
        <v>7523.2</v>
      </c>
      <c r="I25" s="27">
        <f>3247.3+4190.7</f>
        <v>7438</v>
      </c>
      <c r="J25" s="27">
        <f>9009.9+473.9</f>
        <v>9483.7999999999993</v>
      </c>
      <c r="K25" s="27">
        <f>8415+765</f>
        <v>9180</v>
      </c>
      <c r="L25" s="27">
        <v>10241.9</v>
      </c>
      <c r="M25" s="26">
        <v>9907.9</v>
      </c>
      <c r="N25" s="26">
        <v>15279.7</v>
      </c>
      <c r="O25" s="26">
        <v>5577.5</v>
      </c>
      <c r="P25" s="18">
        <v>27092.400000000001</v>
      </c>
      <c r="Q25" s="41">
        <f>24467.1+1205.7</f>
        <v>25672.799999999999</v>
      </c>
      <c r="R25" s="18">
        <v>19573.7</v>
      </c>
      <c r="S25" s="18">
        <v>19573.7</v>
      </c>
      <c r="T25" s="18">
        <f t="shared" si="1"/>
        <v>166544.6</v>
      </c>
    </row>
    <row r="26" spans="1:20" ht="30" customHeight="1" x14ac:dyDescent="0.25">
      <c r="A26" s="53"/>
      <c r="B26" s="46"/>
      <c r="C26" s="31" t="s">
        <v>21</v>
      </c>
      <c r="D26" s="49">
        <v>976</v>
      </c>
      <c r="E26" s="50" t="s">
        <v>15</v>
      </c>
      <c r="F26" s="38"/>
      <c r="G26" s="38"/>
      <c r="H26" s="26">
        <v>14153.1</v>
      </c>
      <c r="I26" s="26">
        <v>14936.4</v>
      </c>
      <c r="J26" s="27">
        <v>15316.7</v>
      </c>
      <c r="K26" s="27">
        <v>15372.5</v>
      </c>
      <c r="L26" s="27">
        <v>15995.1</v>
      </c>
      <c r="M26" s="26">
        <v>16743.8</v>
      </c>
      <c r="N26" s="26">
        <v>18520.7</v>
      </c>
      <c r="O26" s="26">
        <v>22041.3</v>
      </c>
      <c r="P26" s="18">
        <v>26937.3</v>
      </c>
      <c r="Q26" s="18">
        <v>27349</v>
      </c>
      <c r="R26" s="18">
        <v>26590.3</v>
      </c>
      <c r="S26" s="18">
        <v>26590.3</v>
      </c>
      <c r="T26" s="18">
        <f t="shared" si="1"/>
        <v>240546.49999999997</v>
      </c>
    </row>
    <row r="27" spans="1:20" x14ac:dyDescent="0.25">
      <c r="I27" s="54"/>
      <c r="J27" s="54"/>
      <c r="K27" s="55"/>
      <c r="L27" s="54"/>
      <c r="M27" s="54"/>
      <c r="N27" s="54"/>
      <c r="O27" s="54"/>
      <c r="P27" s="56"/>
      <c r="Q27" s="56"/>
      <c r="R27" s="56"/>
      <c r="S27" s="56"/>
    </row>
    <row r="28" spans="1:20" ht="18.75" customHeight="1" x14ac:dyDescent="0.25">
      <c r="A28" s="1" t="s">
        <v>33</v>
      </c>
      <c r="T28" s="1" t="s">
        <v>34</v>
      </c>
    </row>
    <row r="29" spans="1:20" x14ac:dyDescent="0.25">
      <c r="K29" s="59"/>
      <c r="L29" s="59"/>
      <c r="M29" s="59"/>
      <c r="N29" s="59"/>
      <c r="O29" s="59"/>
      <c r="P29" s="60"/>
      <c r="Q29" s="60"/>
      <c r="R29" s="60"/>
      <c r="S29" s="60"/>
      <c r="T29" s="59"/>
    </row>
    <row r="31" spans="1:20" x14ac:dyDescent="0.25">
      <c r="L31" s="61"/>
    </row>
    <row r="32" spans="1:20" x14ac:dyDescent="0.25">
      <c r="L32" s="61"/>
    </row>
    <row r="33" spans="12:20" x14ac:dyDescent="0.25">
      <c r="T33" s="54"/>
    </row>
    <row r="34" spans="12:20" x14ac:dyDescent="0.25">
      <c r="L34" s="61"/>
      <c r="T34" s="54"/>
    </row>
    <row r="36" spans="12:20" x14ac:dyDescent="0.25">
      <c r="T36" s="54"/>
    </row>
    <row r="37" spans="12:20" x14ac:dyDescent="0.25">
      <c r="T37" s="54"/>
    </row>
  </sheetData>
  <mergeCells count="17">
    <mergeCell ref="A19:A21"/>
    <mergeCell ref="B19:B21"/>
    <mergeCell ref="A22:A26"/>
    <mergeCell ref="B22:B26"/>
    <mergeCell ref="A5:A10"/>
    <mergeCell ref="B5:B10"/>
    <mergeCell ref="A11:A14"/>
    <mergeCell ref="B11:B14"/>
    <mergeCell ref="A15:A18"/>
    <mergeCell ref="B15:B18"/>
    <mergeCell ref="M1:T1"/>
    <mergeCell ref="A2:T2"/>
    <mergeCell ref="A3:A4"/>
    <mergeCell ref="B3:B4"/>
    <mergeCell ref="C3:C4"/>
    <mergeCell ref="D3:G3"/>
    <mergeCell ref="H3:T3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"/>
  <sheetViews>
    <sheetView tabSelected="1" view="pageBreakPreview" zoomScaleNormal="100" zoomScaleSheetLayoutView="100" workbookViewId="0">
      <selection activeCell="H7" sqref="H7"/>
    </sheetView>
  </sheetViews>
  <sheetFormatPr defaultRowHeight="15.75" x14ac:dyDescent="0.25"/>
  <cols>
    <col min="1" max="1" width="7.42578125" style="57" customWidth="1"/>
    <col min="2" max="2" width="79.140625" style="57" customWidth="1"/>
    <col min="3" max="3" width="12" style="57" customWidth="1"/>
    <col min="4" max="4" width="16.28515625" style="57" customWidth="1"/>
    <col min="5" max="5" width="9.140625" style="57" hidden="1" customWidth="1"/>
    <col min="6" max="8" width="11.42578125" style="57" customWidth="1"/>
    <col min="9" max="11" width="11.42578125" style="582" customWidth="1"/>
    <col min="12" max="12" width="11.42578125" style="583" customWidth="1"/>
    <col min="13" max="13" width="11.42578125" style="57" customWidth="1"/>
    <col min="14" max="16384" width="9.140625" style="57"/>
  </cols>
  <sheetData>
    <row r="1" spans="1:17" ht="50.25" customHeight="1" x14ac:dyDescent="0.25">
      <c r="A1" s="133"/>
      <c r="B1" s="134"/>
      <c r="C1" s="135"/>
      <c r="D1" s="134"/>
      <c r="F1" s="571" t="s">
        <v>668</v>
      </c>
      <c r="G1" s="571"/>
      <c r="H1" s="571"/>
      <c r="I1" s="571"/>
      <c r="J1" s="571"/>
      <c r="K1" s="571"/>
      <c r="L1" s="571"/>
      <c r="M1" s="571"/>
      <c r="N1" s="571"/>
      <c r="O1" s="571"/>
      <c r="P1" s="571"/>
      <c r="Q1" s="571"/>
    </row>
    <row r="2" spans="1:17" ht="26.25" customHeight="1" x14ac:dyDescent="0.25">
      <c r="A2" s="244" t="s">
        <v>259</v>
      </c>
      <c r="B2" s="244"/>
      <c r="C2" s="244"/>
      <c r="D2" s="244"/>
      <c r="E2" s="244"/>
      <c r="F2" s="244"/>
      <c r="G2" s="244"/>
      <c r="H2" s="244"/>
      <c r="I2" s="244"/>
      <c r="J2" s="572"/>
      <c r="K2" s="572"/>
      <c r="L2" s="572"/>
    </row>
    <row r="3" spans="1:17" ht="53.25" customHeight="1" x14ac:dyDescent="0.25">
      <c r="A3" s="139" t="s">
        <v>97</v>
      </c>
      <c r="B3" s="140" t="s">
        <v>260</v>
      </c>
      <c r="C3" s="140" t="s">
        <v>99</v>
      </c>
      <c r="D3" s="140" t="s">
        <v>101</v>
      </c>
      <c r="E3" s="53" t="s">
        <v>102</v>
      </c>
      <c r="F3" s="53" t="s">
        <v>42</v>
      </c>
      <c r="G3" s="53" t="s">
        <v>43</v>
      </c>
      <c r="H3" s="53" t="s">
        <v>44</v>
      </c>
      <c r="I3" s="53" t="s">
        <v>45</v>
      </c>
      <c r="J3" s="53" t="s">
        <v>46</v>
      </c>
      <c r="K3" s="53" t="s">
        <v>47</v>
      </c>
      <c r="L3" s="53" t="s">
        <v>48</v>
      </c>
      <c r="M3" s="53" t="s">
        <v>49</v>
      </c>
      <c r="N3" s="53" t="s">
        <v>50</v>
      </c>
      <c r="O3" s="53" t="s">
        <v>51</v>
      </c>
      <c r="P3" s="53" t="s">
        <v>52</v>
      </c>
      <c r="Q3" s="53" t="s">
        <v>53</v>
      </c>
    </row>
    <row r="4" spans="1:17" s="166" customFormat="1" ht="22.5" customHeight="1" x14ac:dyDescent="0.2">
      <c r="A4" s="139"/>
      <c r="B4" s="140"/>
      <c r="C4" s="140"/>
      <c r="D4" s="140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</row>
    <row r="5" spans="1:17" ht="36" customHeight="1" x14ac:dyDescent="0.25">
      <c r="A5" s="573" t="s">
        <v>669</v>
      </c>
      <c r="B5" s="574"/>
      <c r="C5" s="574"/>
      <c r="D5" s="574"/>
      <c r="E5" s="574"/>
      <c r="F5" s="574"/>
      <c r="G5" s="574"/>
      <c r="H5" s="574"/>
      <c r="I5" s="574"/>
      <c r="J5" s="574"/>
      <c r="K5" s="574"/>
      <c r="L5" s="574"/>
      <c r="M5" s="574"/>
      <c r="N5" s="574"/>
      <c r="O5" s="574"/>
      <c r="P5" s="574"/>
    </row>
    <row r="6" spans="1:17" ht="30" customHeight="1" x14ac:dyDescent="0.25">
      <c r="A6" s="575" t="s">
        <v>670</v>
      </c>
      <c r="B6" s="576"/>
      <c r="C6" s="576"/>
      <c r="D6" s="576"/>
      <c r="E6" s="576"/>
      <c r="F6" s="576"/>
      <c r="G6" s="576"/>
      <c r="H6" s="576"/>
      <c r="I6" s="576"/>
      <c r="J6" s="576"/>
      <c r="K6" s="576"/>
      <c r="L6" s="576"/>
      <c r="M6" s="576"/>
      <c r="N6" s="576"/>
      <c r="O6" s="576"/>
      <c r="P6" s="576"/>
      <c r="Q6" s="576"/>
    </row>
    <row r="7" spans="1:17" ht="31.5" x14ac:dyDescent="0.25">
      <c r="A7" s="577" t="s">
        <v>671</v>
      </c>
      <c r="B7" s="179" t="s">
        <v>672</v>
      </c>
      <c r="C7" s="192" t="s">
        <v>105</v>
      </c>
      <c r="D7" s="144" t="s">
        <v>110</v>
      </c>
      <c r="E7" s="146"/>
      <c r="F7" s="145">
        <v>82.9</v>
      </c>
      <c r="G7" s="145">
        <v>82.9</v>
      </c>
      <c r="H7" s="145">
        <v>93.2</v>
      </c>
      <c r="I7" s="145">
        <v>93.7</v>
      </c>
      <c r="J7" s="145">
        <v>94</v>
      </c>
      <c r="K7" s="145">
        <v>94</v>
      </c>
      <c r="L7" s="145">
        <v>94</v>
      </c>
      <c r="M7" s="145">
        <v>94</v>
      </c>
      <c r="N7" s="145">
        <v>94</v>
      </c>
      <c r="O7" s="145">
        <v>94</v>
      </c>
      <c r="P7" s="145">
        <v>94</v>
      </c>
      <c r="Q7" s="145">
        <v>94</v>
      </c>
    </row>
    <row r="8" spans="1:17" ht="33.75" customHeight="1" x14ac:dyDescent="0.25">
      <c r="A8" s="578" t="s">
        <v>594</v>
      </c>
      <c r="B8" s="579"/>
      <c r="C8" s="579"/>
      <c r="D8" s="579"/>
      <c r="E8" s="579"/>
      <c r="F8" s="579"/>
      <c r="G8" s="579"/>
      <c r="H8" s="579"/>
      <c r="I8" s="579"/>
      <c r="J8" s="579"/>
      <c r="K8" s="579"/>
      <c r="L8" s="579"/>
      <c r="M8" s="579"/>
      <c r="N8" s="579"/>
      <c r="O8" s="579"/>
      <c r="P8" s="579"/>
      <c r="Q8" s="579"/>
    </row>
    <row r="9" spans="1:17" ht="31.5" x14ac:dyDescent="0.25">
      <c r="A9" s="580" t="s">
        <v>673</v>
      </c>
      <c r="B9" s="179" t="s">
        <v>674</v>
      </c>
      <c r="C9" s="192" t="s">
        <v>105</v>
      </c>
      <c r="D9" s="144" t="s">
        <v>110</v>
      </c>
      <c r="E9" s="146"/>
      <c r="F9" s="145">
        <v>73</v>
      </c>
      <c r="G9" s="145">
        <v>74</v>
      </c>
      <c r="H9" s="145">
        <v>89</v>
      </c>
      <c r="I9" s="145">
        <v>90</v>
      </c>
      <c r="J9" s="145">
        <v>92</v>
      </c>
      <c r="K9" s="145">
        <v>95</v>
      </c>
      <c r="L9" s="145">
        <v>95</v>
      </c>
      <c r="M9" s="145">
        <v>95</v>
      </c>
      <c r="N9" s="145">
        <v>95</v>
      </c>
      <c r="O9" s="145">
        <v>95</v>
      </c>
      <c r="P9" s="145">
        <v>95</v>
      </c>
      <c r="Q9" s="145">
        <v>95</v>
      </c>
    </row>
    <row r="10" spans="1:17" ht="47.25" x14ac:dyDescent="0.25">
      <c r="A10" s="580" t="s">
        <v>675</v>
      </c>
      <c r="B10" s="179" t="s">
        <v>185</v>
      </c>
      <c r="C10" s="581" t="s">
        <v>105</v>
      </c>
      <c r="D10" s="144" t="s">
        <v>110</v>
      </c>
      <c r="E10" s="144">
        <v>15.6</v>
      </c>
      <c r="F10" s="145">
        <v>70</v>
      </c>
      <c r="G10" s="145">
        <v>70</v>
      </c>
      <c r="H10" s="145">
        <v>95</v>
      </c>
      <c r="I10" s="145">
        <v>97</v>
      </c>
      <c r="J10" s="145">
        <v>97</v>
      </c>
      <c r="K10" s="145">
        <v>98</v>
      </c>
      <c r="L10" s="145">
        <v>98</v>
      </c>
      <c r="M10" s="145">
        <v>98</v>
      </c>
      <c r="N10" s="145">
        <v>98</v>
      </c>
      <c r="O10" s="145">
        <v>98</v>
      </c>
      <c r="P10" s="145">
        <v>98</v>
      </c>
      <c r="Q10" s="145">
        <v>98</v>
      </c>
    </row>
    <row r="11" spans="1:17" x14ac:dyDescent="0.25">
      <c r="A11" s="207"/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</row>
    <row r="12" spans="1:17" x14ac:dyDescent="0.25">
      <c r="A12" s="272" t="s">
        <v>33</v>
      </c>
      <c r="B12" s="272"/>
      <c r="C12" s="272"/>
      <c r="I12" s="85"/>
      <c r="J12" s="85"/>
      <c r="K12" s="85"/>
      <c r="L12" s="85"/>
      <c r="O12" s="57" t="s">
        <v>243</v>
      </c>
    </row>
  </sheetData>
  <mergeCells count="22">
    <mergeCell ref="O3:O4"/>
    <mergeCell ref="P3:P4"/>
    <mergeCell ref="Q3:Q4"/>
    <mergeCell ref="A5:P5"/>
    <mergeCell ref="A6:Q6"/>
    <mergeCell ref="A8:Q8"/>
    <mergeCell ref="I3:I4"/>
    <mergeCell ref="J3:J4"/>
    <mergeCell ref="K3:K4"/>
    <mergeCell ref="L3:L4"/>
    <mergeCell ref="M3:M4"/>
    <mergeCell ref="N3:N4"/>
    <mergeCell ref="F1:Q1"/>
    <mergeCell ref="A2:I2"/>
    <mergeCell ref="A3:A4"/>
    <mergeCell ref="B3:B4"/>
    <mergeCell ref="C3:C4"/>
    <mergeCell ref="D3:D4"/>
    <mergeCell ref="E3:E4"/>
    <mergeCell ref="F3:F4"/>
    <mergeCell ref="G3:G4"/>
    <mergeCell ref="H3:H4"/>
  </mergeCells>
  <pageMargins left="0.51181102362204722" right="0.31496062992125984" top="0.55118110236220474" bottom="0.35433070866141736" header="0.31496062992125984" footer="0.31496062992125984"/>
  <pageSetup paperSize="9" scale="58" fitToHeight="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7"/>
  <sheetViews>
    <sheetView view="pageBreakPreview" zoomScale="98" zoomScaleNormal="98" zoomScaleSheetLayoutView="98" workbookViewId="0">
      <pane xSplit="3" ySplit="5" topLeftCell="D27" activePane="bottomRight" state="frozen"/>
      <selection activeCell="Q12" sqref="Q12"/>
      <selection pane="topRight" activeCell="Q12" sqref="Q12"/>
      <selection pane="bottomLeft" activeCell="Q12" sqref="Q12"/>
      <selection pane="bottomRight" activeCell="Q19" sqref="Q19"/>
    </sheetView>
  </sheetViews>
  <sheetFormatPr defaultColWidth="9.28515625" defaultRowHeight="15.75" x14ac:dyDescent="0.25"/>
  <cols>
    <col min="1" max="1" width="6.5703125" style="340" customWidth="1"/>
    <col min="2" max="2" width="50.42578125" style="57" customWidth="1"/>
    <col min="3" max="3" width="21.7109375" style="341" customWidth="1"/>
    <col min="4" max="5" width="9.28515625" style="341" customWidth="1"/>
    <col min="6" max="6" width="14.85546875" style="341" customWidth="1"/>
    <col min="7" max="7" width="11.28515625" style="341" customWidth="1"/>
    <col min="8" max="8" width="12.7109375" style="341" customWidth="1"/>
    <col min="9" max="13" width="12.7109375" style="57" customWidth="1"/>
    <col min="14" max="14" width="12.7109375" style="58" customWidth="1"/>
    <col min="15" max="19" width="12.7109375" style="57" customWidth="1"/>
    <col min="20" max="20" width="14.7109375" style="57" customWidth="1"/>
    <col min="21" max="21" width="40.140625" style="57" customWidth="1"/>
    <col min="22" max="22" width="12" style="57" customWidth="1"/>
    <col min="23" max="16384" width="9.28515625" style="57"/>
  </cols>
  <sheetData>
    <row r="1" spans="1:22" s="237" customFormat="1" ht="75" customHeight="1" x14ac:dyDescent="0.25">
      <c r="A1" s="275"/>
      <c r="B1" s="276"/>
      <c r="C1" s="277"/>
      <c r="D1" s="277"/>
      <c r="E1" s="277"/>
      <c r="F1" s="277"/>
      <c r="G1" s="277"/>
      <c r="H1" s="277"/>
      <c r="I1" s="468"/>
      <c r="J1" s="468"/>
      <c r="N1" s="197"/>
      <c r="T1" s="469" t="s">
        <v>555</v>
      </c>
      <c r="U1" s="469"/>
      <c r="V1" s="470"/>
    </row>
    <row r="2" spans="1:22" s="237" customFormat="1" ht="23.25" customHeight="1" x14ac:dyDescent="0.25">
      <c r="A2" s="281" t="s">
        <v>270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</row>
    <row r="3" spans="1:22" s="237" customFormat="1" ht="24.75" customHeight="1" x14ac:dyDescent="0.25">
      <c r="A3" s="53" t="s">
        <v>97</v>
      </c>
      <c r="B3" s="53" t="s">
        <v>271</v>
      </c>
      <c r="C3" s="53" t="s">
        <v>7</v>
      </c>
      <c r="D3" s="96" t="s">
        <v>5</v>
      </c>
      <c r="E3" s="97"/>
      <c r="F3" s="97"/>
      <c r="G3" s="98"/>
      <c r="H3" s="471"/>
      <c r="I3" s="53" t="s">
        <v>6</v>
      </c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 t="s">
        <v>272</v>
      </c>
    </row>
    <row r="4" spans="1:22" s="237" customFormat="1" ht="42" customHeight="1" x14ac:dyDescent="0.25">
      <c r="A4" s="53"/>
      <c r="B4" s="53"/>
      <c r="C4" s="53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13">
        <v>2020</v>
      </c>
      <c r="O4" s="12">
        <v>2021</v>
      </c>
      <c r="P4" s="12">
        <v>2022</v>
      </c>
      <c r="Q4" s="12">
        <v>2023</v>
      </c>
      <c r="R4" s="12">
        <v>2024</v>
      </c>
      <c r="S4" s="12">
        <v>2025</v>
      </c>
      <c r="T4" s="12" t="s">
        <v>11</v>
      </c>
      <c r="U4" s="53"/>
    </row>
    <row r="5" spans="1:22" ht="26.25" customHeight="1" x14ac:dyDescent="0.25">
      <c r="A5" s="34" t="s">
        <v>556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</row>
    <row r="6" spans="1:22" ht="28.5" hidden="1" customHeight="1" x14ac:dyDescent="0.25">
      <c r="A6" s="472"/>
      <c r="B6" s="31"/>
      <c r="C6" s="12"/>
      <c r="D6" s="285"/>
      <c r="E6" s="12"/>
      <c r="F6" s="285" t="s">
        <v>557</v>
      </c>
      <c r="G6" s="12">
        <v>530</v>
      </c>
      <c r="H6" s="12"/>
      <c r="I6" s="24"/>
      <c r="J6" s="24"/>
      <c r="K6" s="24"/>
      <c r="L6" s="24"/>
      <c r="M6" s="24"/>
      <c r="N6" s="23"/>
      <c r="O6" s="24"/>
      <c r="P6" s="24"/>
      <c r="Q6" s="24"/>
      <c r="R6" s="24"/>
      <c r="S6" s="24"/>
      <c r="T6" s="24">
        <f>SUM(I6:K6)</f>
        <v>0</v>
      </c>
      <c r="U6" s="31"/>
    </row>
    <row r="7" spans="1:22" ht="21.75" customHeight="1" x14ac:dyDescent="0.25">
      <c r="A7" s="282" t="s">
        <v>558</v>
      </c>
      <c r="B7" s="282"/>
      <c r="C7" s="282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</row>
    <row r="8" spans="1:22" ht="48" hidden="1" customHeight="1" x14ac:dyDescent="0.25">
      <c r="A8" s="283" t="s">
        <v>559</v>
      </c>
      <c r="B8" s="473" t="s">
        <v>560</v>
      </c>
      <c r="C8" s="42" t="s">
        <v>17</v>
      </c>
      <c r="D8" s="12">
        <v>975</v>
      </c>
      <c r="E8" s="285" t="s">
        <v>341</v>
      </c>
      <c r="F8" s="285" t="s">
        <v>561</v>
      </c>
      <c r="G8" s="285" t="s">
        <v>281</v>
      </c>
      <c r="H8" s="285"/>
      <c r="I8" s="31"/>
      <c r="J8" s="12"/>
      <c r="K8" s="474"/>
      <c r="L8" s="474"/>
      <c r="M8" s="474"/>
      <c r="N8" s="475"/>
      <c r="O8" s="474"/>
      <c r="P8" s="474"/>
      <c r="Q8" s="474"/>
      <c r="R8" s="474"/>
      <c r="S8" s="474"/>
      <c r="T8" s="24">
        <f>SUM(G8:N8)</f>
        <v>0</v>
      </c>
      <c r="U8" s="476" t="s">
        <v>562</v>
      </c>
    </row>
    <row r="9" spans="1:22" ht="56.25" customHeight="1" x14ac:dyDescent="0.25">
      <c r="A9" s="289"/>
      <c r="B9" s="477"/>
      <c r="C9" s="44"/>
      <c r="D9" s="478" t="s">
        <v>18</v>
      </c>
      <c r="E9" s="478" t="s">
        <v>341</v>
      </c>
      <c r="F9" s="285" t="s">
        <v>561</v>
      </c>
      <c r="G9" s="12">
        <v>622</v>
      </c>
      <c r="H9" s="24">
        <v>97.2</v>
      </c>
      <c r="I9" s="24"/>
      <c r="J9" s="479"/>
      <c r="L9" s="24"/>
      <c r="M9" s="24"/>
      <c r="N9" s="23"/>
      <c r="O9" s="24"/>
      <c r="P9" s="24">
        <f>O9</f>
        <v>0</v>
      </c>
      <c r="Q9" s="24">
        <f>P9</f>
        <v>0</v>
      </c>
      <c r="R9" s="24">
        <f>Q9</f>
        <v>0</v>
      </c>
      <c r="S9" s="24">
        <f>R9</f>
        <v>0</v>
      </c>
      <c r="T9" s="24">
        <f>SUM(H9:S9)</f>
        <v>97.2</v>
      </c>
      <c r="U9" s="399" t="s">
        <v>563</v>
      </c>
    </row>
    <row r="10" spans="1:22" ht="73.900000000000006" customHeight="1" x14ac:dyDescent="0.25">
      <c r="A10" s="293"/>
      <c r="B10" s="480"/>
      <c r="C10" s="81"/>
      <c r="D10" s="478" t="s">
        <v>18</v>
      </c>
      <c r="E10" s="478" t="s">
        <v>341</v>
      </c>
      <c r="F10" s="285" t="s">
        <v>564</v>
      </c>
      <c r="G10" s="12">
        <v>244</v>
      </c>
      <c r="H10" s="24"/>
      <c r="I10" s="24">
        <v>96</v>
      </c>
      <c r="J10" s="24">
        <v>87.9</v>
      </c>
      <c r="K10" s="24">
        <v>110.6</v>
      </c>
      <c r="L10" s="24">
        <v>175</v>
      </c>
      <c r="M10" s="24">
        <v>201.4</v>
      </c>
      <c r="N10" s="23"/>
      <c r="O10" s="24"/>
      <c r="P10" s="24"/>
      <c r="Q10" s="24">
        <f t="shared" ref="Q10:S22" si="0">P10</f>
        <v>0</v>
      </c>
      <c r="R10" s="24">
        <f t="shared" si="0"/>
        <v>0</v>
      </c>
      <c r="S10" s="24">
        <f t="shared" si="0"/>
        <v>0</v>
      </c>
      <c r="T10" s="24">
        <f t="shared" ref="T10:T23" si="1">SUM(H10:S10)</f>
        <v>670.9</v>
      </c>
      <c r="U10" s="400"/>
    </row>
    <row r="11" spans="1:22" ht="99" customHeight="1" x14ac:dyDescent="0.25">
      <c r="A11" s="285" t="s">
        <v>264</v>
      </c>
      <c r="B11" s="31" t="s">
        <v>565</v>
      </c>
      <c r="C11" s="12" t="s">
        <v>17</v>
      </c>
      <c r="D11" s="478" t="s">
        <v>18</v>
      </c>
      <c r="E11" s="478" t="s">
        <v>341</v>
      </c>
      <c r="F11" s="285" t="s">
        <v>561</v>
      </c>
      <c r="G11" s="12">
        <v>612</v>
      </c>
      <c r="H11" s="24">
        <v>214.3</v>
      </c>
      <c r="I11" s="24">
        <v>214.3</v>
      </c>
      <c r="J11" s="481"/>
      <c r="K11" s="482"/>
      <c r="L11" s="482"/>
      <c r="M11" s="482"/>
      <c r="N11" s="483"/>
      <c r="O11" s="482"/>
      <c r="P11" s="24">
        <f t="shared" ref="P11:P22" si="2">O11</f>
        <v>0</v>
      </c>
      <c r="Q11" s="24">
        <f t="shared" si="0"/>
        <v>0</v>
      </c>
      <c r="R11" s="24">
        <f t="shared" si="0"/>
        <v>0</v>
      </c>
      <c r="S11" s="24">
        <f t="shared" si="0"/>
        <v>0</v>
      </c>
      <c r="T11" s="24">
        <f t="shared" si="1"/>
        <v>428.6</v>
      </c>
      <c r="U11" s="371" t="s">
        <v>566</v>
      </c>
      <c r="V11" s="57">
        <v>2</v>
      </c>
    </row>
    <row r="12" spans="1:22" ht="54.75" customHeight="1" x14ac:dyDescent="0.25">
      <c r="A12" s="484" t="s">
        <v>265</v>
      </c>
      <c r="B12" s="485" t="s">
        <v>567</v>
      </c>
      <c r="C12" s="42" t="s">
        <v>17</v>
      </c>
      <c r="D12" s="309" t="s">
        <v>18</v>
      </c>
      <c r="E12" s="309" t="s">
        <v>341</v>
      </c>
      <c r="F12" s="309" t="s">
        <v>561</v>
      </c>
      <c r="G12" s="12">
        <v>622</v>
      </c>
      <c r="H12" s="24">
        <f>6.8</f>
        <v>6.8</v>
      </c>
      <c r="I12" s="24"/>
      <c r="J12" s="24"/>
      <c r="K12" s="24"/>
      <c r="L12" s="24"/>
      <c r="M12" s="24"/>
      <c r="N12" s="23"/>
      <c r="O12" s="24"/>
      <c r="P12" s="24">
        <f t="shared" si="2"/>
        <v>0</v>
      </c>
      <c r="Q12" s="24">
        <f t="shared" si="0"/>
        <v>0</v>
      </c>
      <c r="R12" s="24">
        <f t="shared" si="0"/>
        <v>0</v>
      </c>
      <c r="S12" s="24">
        <f t="shared" si="0"/>
        <v>0</v>
      </c>
      <c r="T12" s="24">
        <f t="shared" si="1"/>
        <v>6.8</v>
      </c>
      <c r="U12" s="399" t="s">
        <v>568</v>
      </c>
    </row>
    <row r="13" spans="1:22" ht="42.75" customHeight="1" x14ac:dyDescent="0.25">
      <c r="A13" s="486"/>
      <c r="B13" s="487"/>
      <c r="C13" s="81"/>
      <c r="D13" s="309" t="s">
        <v>18</v>
      </c>
      <c r="E13" s="309" t="s">
        <v>341</v>
      </c>
      <c r="F13" s="309" t="s">
        <v>561</v>
      </c>
      <c r="G13" s="488">
        <v>244</v>
      </c>
      <c r="H13" s="24"/>
      <c r="I13" s="24">
        <v>6.8</v>
      </c>
      <c r="J13" s="24"/>
      <c r="K13" s="24"/>
      <c r="L13" s="24"/>
      <c r="M13" s="24"/>
      <c r="N13" s="23"/>
      <c r="O13" s="24"/>
      <c r="P13" s="24">
        <f t="shared" si="2"/>
        <v>0</v>
      </c>
      <c r="Q13" s="24">
        <f t="shared" si="0"/>
        <v>0</v>
      </c>
      <c r="R13" s="24">
        <f t="shared" si="0"/>
        <v>0</v>
      </c>
      <c r="S13" s="24">
        <f t="shared" si="0"/>
        <v>0</v>
      </c>
      <c r="T13" s="24">
        <f t="shared" si="1"/>
        <v>6.8</v>
      </c>
      <c r="U13" s="400"/>
    </row>
    <row r="14" spans="1:22" ht="78.599999999999994" customHeight="1" x14ac:dyDescent="0.25">
      <c r="A14" s="283" t="s">
        <v>267</v>
      </c>
      <c r="B14" s="485" t="s">
        <v>569</v>
      </c>
      <c r="C14" s="42" t="s">
        <v>17</v>
      </c>
      <c r="D14" s="309" t="s">
        <v>18</v>
      </c>
      <c r="E14" s="309" t="s">
        <v>570</v>
      </c>
      <c r="F14" s="309" t="s">
        <v>571</v>
      </c>
      <c r="G14" s="488" t="s">
        <v>572</v>
      </c>
      <c r="H14" s="12">
        <v>1367.3</v>
      </c>
      <c r="I14" s="24">
        <v>1367.3</v>
      </c>
      <c r="J14" s="24">
        <v>1309.4000000000001</v>
      </c>
      <c r="K14" s="24">
        <f>1648.2</f>
        <v>1648.2</v>
      </c>
      <c r="L14" s="24">
        <v>1812.7</v>
      </c>
      <c r="M14" s="24"/>
      <c r="N14" s="23"/>
      <c r="O14" s="23">
        <v>2313.1</v>
      </c>
      <c r="P14" s="23">
        <v>3127.3</v>
      </c>
      <c r="Q14" s="23">
        <v>3786.6</v>
      </c>
      <c r="R14" s="24">
        <v>3771.4</v>
      </c>
      <c r="S14" s="24">
        <f t="shared" si="0"/>
        <v>3771.4</v>
      </c>
      <c r="T14" s="24">
        <f t="shared" si="1"/>
        <v>24274.7</v>
      </c>
      <c r="U14" s="399" t="s">
        <v>573</v>
      </c>
    </row>
    <row r="15" spans="1:22" ht="49.5" customHeight="1" x14ac:dyDescent="0.25">
      <c r="A15" s="289"/>
      <c r="B15" s="487"/>
      <c r="C15" s="44"/>
      <c r="D15" s="309" t="s">
        <v>18</v>
      </c>
      <c r="E15" s="309" t="s">
        <v>341</v>
      </c>
      <c r="F15" s="309" t="s">
        <v>574</v>
      </c>
      <c r="G15" s="488">
        <v>622</v>
      </c>
      <c r="H15" s="12">
        <v>344.4</v>
      </c>
      <c r="I15" s="24">
        <v>344.4</v>
      </c>
      <c r="J15" s="24">
        <v>338.1</v>
      </c>
      <c r="K15" s="489">
        <v>0</v>
      </c>
      <c r="L15" s="24"/>
      <c r="M15" s="24"/>
      <c r="N15" s="23"/>
      <c r="O15" s="24"/>
      <c r="P15" s="24">
        <f t="shared" si="2"/>
        <v>0</v>
      </c>
      <c r="Q15" s="24">
        <f t="shared" si="0"/>
        <v>0</v>
      </c>
      <c r="R15" s="24">
        <f t="shared" si="0"/>
        <v>0</v>
      </c>
      <c r="S15" s="24">
        <f t="shared" si="0"/>
        <v>0</v>
      </c>
      <c r="T15" s="24">
        <f t="shared" si="1"/>
        <v>1026.9000000000001</v>
      </c>
      <c r="U15" s="444"/>
    </row>
    <row r="16" spans="1:22" ht="46.5" customHeight="1" x14ac:dyDescent="0.25">
      <c r="A16" s="289"/>
      <c r="B16" s="485" t="s">
        <v>575</v>
      </c>
      <c r="C16" s="44"/>
      <c r="D16" s="309" t="s">
        <v>18</v>
      </c>
      <c r="E16" s="309" t="s">
        <v>341</v>
      </c>
      <c r="F16" s="309" t="s">
        <v>576</v>
      </c>
      <c r="G16" s="488" t="s">
        <v>577</v>
      </c>
      <c r="H16" s="12">
        <v>1.4</v>
      </c>
      <c r="I16" s="24">
        <v>286.10000000000002</v>
      </c>
      <c r="J16" s="24">
        <v>746.2</v>
      </c>
      <c r="K16" s="24">
        <v>358.1</v>
      </c>
      <c r="L16" s="24">
        <v>358.1</v>
      </c>
      <c r="M16" s="24">
        <v>401.7</v>
      </c>
      <c r="N16" s="23"/>
      <c r="O16" s="24"/>
      <c r="P16" s="24"/>
      <c r="Q16" s="24"/>
      <c r="R16" s="24">
        <f t="shared" si="0"/>
        <v>0</v>
      </c>
      <c r="S16" s="24">
        <f t="shared" si="0"/>
        <v>0</v>
      </c>
      <c r="T16" s="24">
        <f t="shared" si="1"/>
        <v>2151.6</v>
      </c>
      <c r="U16" s="444"/>
    </row>
    <row r="17" spans="1:22" ht="79.150000000000006" customHeight="1" x14ac:dyDescent="0.25">
      <c r="A17" s="289"/>
      <c r="B17" s="487"/>
      <c r="C17" s="44"/>
      <c r="D17" s="309" t="s">
        <v>18</v>
      </c>
      <c r="E17" s="309" t="s">
        <v>341</v>
      </c>
      <c r="F17" s="309" t="s">
        <v>578</v>
      </c>
      <c r="G17" s="488" t="s">
        <v>579</v>
      </c>
      <c r="H17" s="12">
        <v>0.4</v>
      </c>
      <c r="I17" s="24">
        <v>72.099999999999994</v>
      </c>
      <c r="J17" s="24">
        <v>73.5</v>
      </c>
      <c r="K17" s="24">
        <v>580.79999999999995</v>
      </c>
      <c r="L17" s="24">
        <v>516.5</v>
      </c>
      <c r="M17" s="24">
        <v>579.79999999999995</v>
      </c>
      <c r="N17" s="23"/>
      <c r="O17" s="23">
        <v>829.3</v>
      </c>
      <c r="P17" s="24"/>
      <c r="Q17" s="24"/>
      <c r="R17" s="24">
        <f t="shared" si="0"/>
        <v>0</v>
      </c>
      <c r="S17" s="24">
        <f t="shared" si="0"/>
        <v>0</v>
      </c>
      <c r="T17" s="24">
        <f t="shared" si="1"/>
        <v>2652.3999999999996</v>
      </c>
      <c r="U17" s="444"/>
    </row>
    <row r="18" spans="1:22" ht="62.25" customHeight="1" x14ac:dyDescent="0.25">
      <c r="A18" s="293"/>
      <c r="B18" s="490" t="s">
        <v>580</v>
      </c>
      <c r="C18" s="81"/>
      <c r="D18" s="309" t="s">
        <v>18</v>
      </c>
      <c r="E18" s="309" t="s">
        <v>341</v>
      </c>
      <c r="F18" s="309" t="s">
        <v>15</v>
      </c>
      <c r="G18" s="309" t="s">
        <v>15</v>
      </c>
      <c r="H18" s="24">
        <v>533</v>
      </c>
      <c r="I18" s="24">
        <v>705.2</v>
      </c>
      <c r="J18" s="24">
        <v>691.4</v>
      </c>
      <c r="K18" s="24">
        <v>691.4</v>
      </c>
      <c r="L18" s="24">
        <v>691.4</v>
      </c>
      <c r="M18" s="24">
        <f>579.8+201.4</f>
        <v>781.19999999999993</v>
      </c>
      <c r="N18" s="23">
        <v>0</v>
      </c>
      <c r="O18" s="24">
        <v>0</v>
      </c>
      <c r="P18" s="24">
        <v>938.2</v>
      </c>
      <c r="Q18" s="491">
        <v>1325.4</v>
      </c>
      <c r="R18" s="24">
        <v>0</v>
      </c>
      <c r="S18" s="24">
        <f t="shared" si="0"/>
        <v>0</v>
      </c>
      <c r="T18" s="24">
        <f t="shared" si="1"/>
        <v>6357.2000000000007</v>
      </c>
      <c r="U18" s="400"/>
    </row>
    <row r="19" spans="1:22" ht="95.45" customHeight="1" x14ac:dyDescent="0.25">
      <c r="A19" s="492"/>
      <c r="B19" s="490" t="s">
        <v>581</v>
      </c>
      <c r="C19" s="12" t="s">
        <v>17</v>
      </c>
      <c r="D19" s="309" t="s">
        <v>18</v>
      </c>
      <c r="E19" s="309" t="s">
        <v>341</v>
      </c>
      <c r="F19" s="309" t="s">
        <v>582</v>
      </c>
      <c r="G19" s="309" t="s">
        <v>583</v>
      </c>
      <c r="H19" s="24"/>
      <c r="I19" s="24"/>
      <c r="J19" s="24"/>
      <c r="K19" s="24"/>
      <c r="L19" s="24"/>
      <c r="M19" s="24"/>
      <c r="N19" s="23"/>
      <c r="O19" s="24"/>
      <c r="P19" s="24">
        <f t="shared" si="2"/>
        <v>0</v>
      </c>
      <c r="Q19" s="24">
        <f t="shared" si="0"/>
        <v>0</v>
      </c>
      <c r="R19" s="24">
        <f t="shared" si="0"/>
        <v>0</v>
      </c>
      <c r="S19" s="24">
        <f t="shared" si="0"/>
        <v>0</v>
      </c>
      <c r="T19" s="24">
        <f t="shared" si="1"/>
        <v>0</v>
      </c>
      <c r="U19" s="401"/>
    </row>
    <row r="20" spans="1:22" ht="129.75" customHeight="1" x14ac:dyDescent="0.25">
      <c r="A20" s="472" t="s">
        <v>352</v>
      </c>
      <c r="B20" s="493" t="s">
        <v>584</v>
      </c>
      <c r="C20" s="12" t="s">
        <v>17</v>
      </c>
      <c r="D20" s="285" t="s">
        <v>18</v>
      </c>
      <c r="E20" s="285" t="s">
        <v>570</v>
      </c>
      <c r="F20" s="285" t="s">
        <v>585</v>
      </c>
      <c r="G20" s="285" t="s">
        <v>586</v>
      </c>
      <c r="H20" s="24">
        <v>2887.9</v>
      </c>
      <c r="I20" s="24">
        <v>3076.7</v>
      </c>
      <c r="J20" s="24">
        <v>2913.1</v>
      </c>
      <c r="K20" s="24">
        <v>2917.5</v>
      </c>
      <c r="L20" s="24">
        <v>3303.7</v>
      </c>
      <c r="M20" s="24">
        <v>5258.7</v>
      </c>
      <c r="N20" s="23"/>
      <c r="O20" s="23">
        <v>4285.3</v>
      </c>
      <c r="P20" s="24">
        <v>4930.1000000000004</v>
      </c>
      <c r="Q20" s="24">
        <v>6033.5</v>
      </c>
      <c r="R20" s="24">
        <v>5845.7</v>
      </c>
      <c r="S20" s="24">
        <f t="shared" si="0"/>
        <v>5845.7</v>
      </c>
      <c r="T20" s="24">
        <f t="shared" si="1"/>
        <v>47297.899999999994</v>
      </c>
      <c r="U20" s="402" t="s">
        <v>587</v>
      </c>
      <c r="V20" s="57">
        <v>4</v>
      </c>
    </row>
    <row r="21" spans="1:22" ht="140.25" customHeight="1" x14ac:dyDescent="0.25">
      <c r="A21" s="472" t="s">
        <v>588</v>
      </c>
      <c r="B21" s="493" t="s">
        <v>589</v>
      </c>
      <c r="C21" s="12" t="s">
        <v>17</v>
      </c>
      <c r="D21" s="285" t="s">
        <v>18</v>
      </c>
      <c r="E21" s="285" t="s">
        <v>570</v>
      </c>
      <c r="F21" s="285" t="s">
        <v>590</v>
      </c>
      <c r="G21" s="285" t="s">
        <v>316</v>
      </c>
      <c r="H21" s="24">
        <v>1476.3</v>
      </c>
      <c r="I21" s="24">
        <v>1534.3</v>
      </c>
      <c r="J21" s="24">
        <v>1254.8</v>
      </c>
      <c r="K21" s="24">
        <v>1265.7</v>
      </c>
      <c r="L21" s="24">
        <v>1123.4000000000001</v>
      </c>
      <c r="M21" s="24">
        <v>1171.3</v>
      </c>
      <c r="N21" s="23"/>
      <c r="O21" s="23">
        <v>1632</v>
      </c>
      <c r="P21" s="24">
        <v>0</v>
      </c>
      <c r="Q21" s="24">
        <v>0</v>
      </c>
      <c r="R21" s="24">
        <v>0</v>
      </c>
      <c r="S21" s="24">
        <f t="shared" si="0"/>
        <v>0</v>
      </c>
      <c r="T21" s="24">
        <f t="shared" si="1"/>
        <v>9457.7999999999993</v>
      </c>
      <c r="U21" s="402" t="s">
        <v>591</v>
      </c>
    </row>
    <row r="22" spans="1:22" ht="140.25" hidden="1" customHeight="1" x14ac:dyDescent="0.25">
      <c r="A22" s="472" t="s">
        <v>592</v>
      </c>
      <c r="B22" s="493" t="s">
        <v>593</v>
      </c>
      <c r="C22" s="12" t="s">
        <v>17</v>
      </c>
      <c r="D22" s="285"/>
      <c r="E22" s="285"/>
      <c r="F22" s="285"/>
      <c r="G22" s="285"/>
      <c r="H22" s="24"/>
      <c r="I22" s="24"/>
      <c r="J22" s="494"/>
      <c r="K22" s="24"/>
      <c r="L22" s="24"/>
      <c r="M22" s="24"/>
      <c r="N22" s="23"/>
      <c r="O22" s="24"/>
      <c r="P22" s="24">
        <f t="shared" si="2"/>
        <v>0</v>
      </c>
      <c r="Q22" s="24">
        <f t="shared" si="0"/>
        <v>0</v>
      </c>
      <c r="R22" s="24">
        <f t="shared" si="0"/>
        <v>0</v>
      </c>
      <c r="S22" s="24">
        <f t="shared" si="0"/>
        <v>0</v>
      </c>
      <c r="T22" s="24">
        <f t="shared" si="1"/>
        <v>0</v>
      </c>
      <c r="U22" s="318"/>
    </row>
    <row r="23" spans="1:22" ht="21" customHeight="1" x14ac:dyDescent="0.25">
      <c r="A23" s="495" t="s">
        <v>344</v>
      </c>
      <c r="B23" s="495"/>
      <c r="C23" s="496"/>
      <c r="D23" s="496"/>
      <c r="E23" s="496"/>
      <c r="F23" s="496"/>
      <c r="G23" s="496"/>
      <c r="H23" s="24">
        <f>SUM(H9:H22)</f>
        <v>6929.0000000000009</v>
      </c>
      <c r="I23" s="24">
        <f>SUM(I9:I22)</f>
        <v>7703.2</v>
      </c>
      <c r="J23" s="24">
        <f>SUM(J9:J22)</f>
        <v>7414.4000000000005</v>
      </c>
      <c r="K23" s="24">
        <f t="shared" ref="K23:S23" si="3">SUM(K8:K22)</f>
        <v>7572.3</v>
      </c>
      <c r="L23" s="24">
        <f t="shared" si="3"/>
        <v>7980.7999999999993</v>
      </c>
      <c r="M23" s="24">
        <f t="shared" si="3"/>
        <v>8394.0999999999985</v>
      </c>
      <c r="N23" s="23">
        <f t="shared" si="3"/>
        <v>0</v>
      </c>
      <c r="O23" s="24">
        <f t="shared" si="3"/>
        <v>9059.7000000000007</v>
      </c>
      <c r="P23" s="24">
        <f t="shared" si="3"/>
        <v>8995.6</v>
      </c>
      <c r="Q23" s="24">
        <f t="shared" si="3"/>
        <v>11145.5</v>
      </c>
      <c r="R23" s="24">
        <f t="shared" si="3"/>
        <v>9617.1</v>
      </c>
      <c r="S23" s="24">
        <f t="shared" si="3"/>
        <v>9617.1</v>
      </c>
      <c r="T23" s="24">
        <f t="shared" si="1"/>
        <v>94428.800000000017</v>
      </c>
      <c r="U23" s="38"/>
    </row>
    <row r="24" spans="1:22" s="142" customFormat="1" ht="30" customHeight="1" x14ac:dyDescent="0.2">
      <c r="A24" s="497" t="s">
        <v>594</v>
      </c>
      <c r="B24" s="497"/>
      <c r="C24" s="497"/>
      <c r="D24" s="497"/>
      <c r="E24" s="497"/>
      <c r="F24" s="497"/>
      <c r="G24" s="497"/>
      <c r="H24" s="497"/>
      <c r="I24" s="497"/>
      <c r="J24" s="497"/>
      <c r="K24" s="497"/>
      <c r="L24" s="497"/>
      <c r="M24" s="497"/>
      <c r="N24" s="497"/>
      <c r="O24" s="497"/>
      <c r="P24" s="497"/>
      <c r="Q24" s="497"/>
      <c r="R24" s="497"/>
      <c r="S24" s="497"/>
      <c r="T24" s="497"/>
      <c r="U24" s="497"/>
    </row>
    <row r="25" spans="1:22" ht="35.1" customHeight="1" x14ac:dyDescent="0.25">
      <c r="A25" s="498" t="s">
        <v>354</v>
      </c>
      <c r="B25" s="499" t="s">
        <v>595</v>
      </c>
      <c r="C25" s="68" t="s">
        <v>17</v>
      </c>
      <c r="D25" s="291" t="s">
        <v>18</v>
      </c>
      <c r="E25" s="291" t="s">
        <v>341</v>
      </c>
      <c r="F25" s="291" t="s">
        <v>561</v>
      </c>
      <c r="G25" s="291" t="s">
        <v>318</v>
      </c>
      <c r="H25" s="23">
        <v>18.7</v>
      </c>
      <c r="I25" s="23"/>
      <c r="J25" s="23"/>
      <c r="K25" s="38"/>
      <c r="L25" s="38"/>
      <c r="M25" s="38"/>
      <c r="N25" s="40"/>
      <c r="O25" s="38"/>
      <c r="P25" s="38">
        <f>O25</f>
        <v>0</v>
      </c>
      <c r="Q25" s="38">
        <f>P25</f>
        <v>0</v>
      </c>
      <c r="R25" s="38">
        <f>Q25</f>
        <v>0</v>
      </c>
      <c r="S25" s="38">
        <f>R25</f>
        <v>0</v>
      </c>
      <c r="T25" s="500">
        <f>SUM(H25:S25)</f>
        <v>18.7</v>
      </c>
      <c r="U25" s="499" t="s">
        <v>596</v>
      </c>
    </row>
    <row r="26" spans="1:22" ht="35.1" customHeight="1" x14ac:dyDescent="0.25">
      <c r="A26" s="501"/>
      <c r="B26" s="502"/>
      <c r="C26" s="255"/>
      <c r="D26" s="291" t="s">
        <v>18</v>
      </c>
      <c r="E26" s="291" t="s">
        <v>341</v>
      </c>
      <c r="F26" s="291" t="s">
        <v>561</v>
      </c>
      <c r="G26" s="291" t="s">
        <v>281</v>
      </c>
      <c r="H26" s="23"/>
      <c r="I26" s="23">
        <v>18.7</v>
      </c>
      <c r="J26" s="23"/>
      <c r="K26" s="482"/>
      <c r="L26" s="482"/>
      <c r="M26" s="482"/>
      <c r="N26" s="483"/>
      <c r="O26" s="482"/>
      <c r="P26" s="38">
        <f t="shared" ref="P26:S38" si="4">O26</f>
        <v>0</v>
      </c>
      <c r="Q26" s="38">
        <f t="shared" si="4"/>
        <v>0</v>
      </c>
      <c r="R26" s="38">
        <f t="shared" si="4"/>
        <v>0</v>
      </c>
      <c r="S26" s="38">
        <f t="shared" si="4"/>
        <v>0</v>
      </c>
      <c r="T26" s="500">
        <f t="shared" ref="T26:T38" si="5">SUM(H26:S26)</f>
        <v>18.7</v>
      </c>
      <c r="U26" s="502"/>
    </row>
    <row r="27" spans="1:22" ht="35.1" customHeight="1" x14ac:dyDescent="0.25">
      <c r="A27" s="498" t="s">
        <v>355</v>
      </c>
      <c r="B27" s="503" t="s">
        <v>597</v>
      </c>
      <c r="C27" s="68" t="s">
        <v>17</v>
      </c>
      <c r="D27" s="291" t="s">
        <v>18</v>
      </c>
      <c r="E27" s="291" t="s">
        <v>341</v>
      </c>
      <c r="F27" s="291" t="s">
        <v>561</v>
      </c>
      <c r="G27" s="291" t="s">
        <v>318</v>
      </c>
      <c r="H27" s="500">
        <v>13.05</v>
      </c>
      <c r="I27" s="23"/>
      <c r="J27" s="23"/>
      <c r="K27" s="24"/>
      <c r="L27" s="24"/>
      <c r="M27" s="24"/>
      <c r="N27" s="23"/>
      <c r="O27" s="24"/>
      <c r="P27" s="38">
        <f t="shared" si="4"/>
        <v>0</v>
      </c>
      <c r="Q27" s="38">
        <f t="shared" si="4"/>
        <v>0</v>
      </c>
      <c r="R27" s="38">
        <f t="shared" si="4"/>
        <v>0</v>
      </c>
      <c r="S27" s="38">
        <f t="shared" si="4"/>
        <v>0</v>
      </c>
      <c r="T27" s="500">
        <f t="shared" si="5"/>
        <v>13.05</v>
      </c>
      <c r="U27" s="499" t="s">
        <v>598</v>
      </c>
    </row>
    <row r="28" spans="1:22" ht="35.1" customHeight="1" x14ac:dyDescent="0.25">
      <c r="A28" s="501"/>
      <c r="B28" s="504"/>
      <c r="C28" s="255"/>
      <c r="D28" s="291" t="s">
        <v>18</v>
      </c>
      <c r="E28" s="291" t="s">
        <v>341</v>
      </c>
      <c r="F28" s="314" t="s">
        <v>561</v>
      </c>
      <c r="G28" s="314" t="s">
        <v>281</v>
      </c>
      <c r="H28" s="500">
        <v>16.25</v>
      </c>
      <c r="I28" s="500">
        <v>29.3</v>
      </c>
      <c r="J28" s="500"/>
      <c r="K28" s="482"/>
      <c r="L28" s="482"/>
      <c r="M28" s="482"/>
      <c r="N28" s="483"/>
      <c r="O28" s="482"/>
      <c r="P28" s="38">
        <f t="shared" si="4"/>
        <v>0</v>
      </c>
      <c r="Q28" s="38">
        <f t="shared" si="4"/>
        <v>0</v>
      </c>
      <c r="R28" s="38">
        <f t="shared" si="4"/>
        <v>0</v>
      </c>
      <c r="S28" s="38">
        <f t="shared" si="4"/>
        <v>0</v>
      </c>
      <c r="T28" s="500">
        <f t="shared" si="5"/>
        <v>45.55</v>
      </c>
      <c r="U28" s="502"/>
    </row>
    <row r="29" spans="1:22" ht="35.1" customHeight="1" x14ac:dyDescent="0.25">
      <c r="A29" s="505" t="s">
        <v>356</v>
      </c>
      <c r="B29" s="506" t="s">
        <v>599</v>
      </c>
      <c r="C29" s="68" t="s">
        <v>17</v>
      </c>
      <c r="D29" s="291" t="s">
        <v>18</v>
      </c>
      <c r="E29" s="260" t="s">
        <v>341</v>
      </c>
      <c r="F29" s="314" t="s">
        <v>561</v>
      </c>
      <c r="G29" s="314" t="s">
        <v>318</v>
      </c>
      <c r="H29" s="37">
        <v>13.7</v>
      </c>
      <c r="I29" s="37"/>
      <c r="J29" s="37"/>
      <c r="K29" s="37"/>
      <c r="L29" s="37"/>
      <c r="M29" s="37"/>
      <c r="N29" s="37"/>
      <c r="O29" s="37"/>
      <c r="P29" s="38">
        <f t="shared" si="4"/>
        <v>0</v>
      </c>
      <c r="Q29" s="38">
        <f t="shared" si="4"/>
        <v>0</v>
      </c>
      <c r="R29" s="38">
        <f t="shared" si="4"/>
        <v>0</v>
      </c>
      <c r="S29" s="38">
        <f t="shared" si="4"/>
        <v>0</v>
      </c>
      <c r="T29" s="500">
        <f t="shared" si="5"/>
        <v>13.7</v>
      </c>
      <c r="U29" s="507"/>
    </row>
    <row r="30" spans="1:22" ht="35.1" customHeight="1" x14ac:dyDescent="0.25">
      <c r="A30" s="508"/>
      <c r="B30" s="509"/>
      <c r="C30" s="70"/>
      <c r="D30" s="291" t="s">
        <v>18</v>
      </c>
      <c r="E30" s="510" t="s">
        <v>341</v>
      </c>
      <c r="F30" s="314" t="s">
        <v>561</v>
      </c>
      <c r="G30" s="314" t="s">
        <v>281</v>
      </c>
      <c r="H30" s="37"/>
      <c r="I30" s="37">
        <v>13.7</v>
      </c>
      <c r="J30" s="37"/>
      <c r="K30" s="37"/>
      <c r="L30" s="37"/>
      <c r="M30" s="37"/>
      <c r="N30" s="37"/>
      <c r="O30" s="37"/>
      <c r="P30" s="38">
        <f t="shared" si="4"/>
        <v>0</v>
      </c>
      <c r="Q30" s="38">
        <f t="shared" si="4"/>
        <v>0</v>
      </c>
      <c r="R30" s="38">
        <f t="shared" si="4"/>
        <v>0</v>
      </c>
      <c r="S30" s="38">
        <f t="shared" si="4"/>
        <v>0</v>
      </c>
      <c r="T30" s="500">
        <f t="shared" si="5"/>
        <v>13.7</v>
      </c>
      <c r="U30" s="511"/>
    </row>
    <row r="31" spans="1:22" ht="35.1" customHeight="1" x14ac:dyDescent="0.25">
      <c r="A31" s="508"/>
      <c r="B31" s="509"/>
      <c r="C31" s="70"/>
      <c r="D31" s="291" t="s">
        <v>18</v>
      </c>
      <c r="E31" s="260" t="s">
        <v>341</v>
      </c>
      <c r="F31" s="314" t="s">
        <v>600</v>
      </c>
      <c r="G31" s="314" t="s">
        <v>432</v>
      </c>
      <c r="H31" s="37"/>
      <c r="I31" s="37"/>
      <c r="J31" s="37"/>
      <c r="K31" s="35">
        <v>83</v>
      </c>
      <c r="L31" s="35"/>
      <c r="M31" s="35"/>
      <c r="N31" s="37"/>
      <c r="O31" s="35"/>
      <c r="P31" s="38">
        <f t="shared" si="4"/>
        <v>0</v>
      </c>
      <c r="Q31" s="38">
        <f t="shared" si="4"/>
        <v>0</v>
      </c>
      <c r="R31" s="38">
        <f t="shared" si="4"/>
        <v>0</v>
      </c>
      <c r="S31" s="38">
        <f t="shared" si="4"/>
        <v>0</v>
      </c>
      <c r="T31" s="500">
        <f t="shared" si="5"/>
        <v>83</v>
      </c>
      <c r="U31" s="511"/>
    </row>
    <row r="32" spans="1:22" ht="35.1" customHeight="1" x14ac:dyDescent="0.25">
      <c r="A32" s="508"/>
      <c r="B32" s="509"/>
      <c r="C32" s="70"/>
      <c r="D32" s="291" t="s">
        <v>18</v>
      </c>
      <c r="E32" s="510" t="s">
        <v>341</v>
      </c>
      <c r="F32" s="314" t="s">
        <v>600</v>
      </c>
      <c r="G32" s="314" t="s">
        <v>281</v>
      </c>
      <c r="H32" s="37"/>
      <c r="I32" s="37"/>
      <c r="J32" s="37"/>
      <c r="K32" s="35">
        <v>371.8</v>
      </c>
      <c r="L32" s="35"/>
      <c r="M32" s="35"/>
      <c r="N32" s="37"/>
      <c r="O32" s="35"/>
      <c r="P32" s="38">
        <f t="shared" si="4"/>
        <v>0</v>
      </c>
      <c r="Q32" s="38">
        <f t="shared" si="4"/>
        <v>0</v>
      </c>
      <c r="R32" s="38">
        <f t="shared" si="4"/>
        <v>0</v>
      </c>
      <c r="S32" s="38">
        <f t="shared" si="4"/>
        <v>0</v>
      </c>
      <c r="T32" s="500">
        <f t="shared" si="5"/>
        <v>371.8</v>
      </c>
      <c r="U32" s="511"/>
    </row>
    <row r="33" spans="1:21" ht="35.1" customHeight="1" x14ac:dyDescent="0.25">
      <c r="A33" s="512"/>
      <c r="B33" s="513"/>
      <c r="C33" s="255"/>
      <c r="D33" s="291" t="s">
        <v>18</v>
      </c>
      <c r="E33" s="260" t="s">
        <v>341</v>
      </c>
      <c r="F33" s="314" t="s">
        <v>601</v>
      </c>
      <c r="G33" s="314" t="s">
        <v>283</v>
      </c>
      <c r="H33" s="37"/>
      <c r="I33" s="37"/>
      <c r="J33" s="37"/>
      <c r="K33" s="35">
        <v>31.2</v>
      </c>
      <c r="L33" s="35"/>
      <c r="M33" s="35"/>
      <c r="N33" s="37"/>
      <c r="O33" s="35"/>
      <c r="P33" s="38">
        <f t="shared" si="4"/>
        <v>0</v>
      </c>
      <c r="Q33" s="38">
        <f t="shared" si="4"/>
        <v>0</v>
      </c>
      <c r="R33" s="38">
        <f t="shared" si="4"/>
        <v>0</v>
      </c>
      <c r="S33" s="38">
        <f t="shared" si="4"/>
        <v>0</v>
      </c>
      <c r="T33" s="500">
        <f t="shared" si="5"/>
        <v>31.2</v>
      </c>
      <c r="U33" s="514"/>
    </row>
    <row r="34" spans="1:21" s="166" customFormat="1" ht="35.1" customHeight="1" x14ac:dyDescent="0.25">
      <c r="A34" s="515" t="s">
        <v>504</v>
      </c>
      <c r="B34" s="515"/>
      <c r="C34" s="516"/>
      <c r="D34" s="516"/>
      <c r="E34" s="516"/>
      <c r="F34" s="516"/>
      <c r="G34" s="516"/>
      <c r="H34" s="24">
        <f>H25+H26+H27+H28+H29+H30</f>
        <v>61.7</v>
      </c>
      <c r="I34" s="24">
        <f>I25+I26+I27+I28+I29+I30</f>
        <v>61.7</v>
      </c>
      <c r="J34" s="24">
        <f>J25+J26+J27+J28+J29+J30</f>
        <v>0</v>
      </c>
      <c r="K34" s="24">
        <f>SUM(K26:K33)</f>
        <v>486</v>
      </c>
      <c r="L34" s="24">
        <f>SUM(L26:L33)</f>
        <v>0</v>
      </c>
      <c r="M34" s="24">
        <f>SUM(M26:M33)</f>
        <v>0</v>
      </c>
      <c r="N34" s="23">
        <f>SUM(N26:N33)</f>
        <v>0</v>
      </c>
      <c r="O34" s="24"/>
      <c r="P34" s="38">
        <f t="shared" si="4"/>
        <v>0</v>
      </c>
      <c r="Q34" s="38">
        <f t="shared" si="4"/>
        <v>0</v>
      </c>
      <c r="R34" s="38">
        <f t="shared" si="4"/>
        <v>0</v>
      </c>
      <c r="S34" s="38">
        <f t="shared" si="4"/>
        <v>0</v>
      </c>
      <c r="T34" s="500">
        <f t="shared" si="5"/>
        <v>609.4</v>
      </c>
      <c r="U34" s="35"/>
    </row>
    <row r="35" spans="1:21" ht="35.1" customHeight="1" x14ac:dyDescent="0.25">
      <c r="A35" s="517" t="s">
        <v>345</v>
      </c>
      <c r="B35" s="517"/>
      <c r="C35" s="326"/>
      <c r="D35" s="326"/>
      <c r="E35" s="326"/>
      <c r="F35" s="326"/>
      <c r="G35" s="326"/>
      <c r="H35" s="24">
        <f t="shared" ref="H35:S35" si="6">H23+H34</f>
        <v>6990.7000000000007</v>
      </c>
      <c r="I35" s="24">
        <f t="shared" si="6"/>
        <v>7764.9</v>
      </c>
      <c r="J35" s="24">
        <f t="shared" si="6"/>
        <v>7414.4000000000005</v>
      </c>
      <c r="K35" s="24">
        <f>K23+K34</f>
        <v>8058.3</v>
      </c>
      <c r="L35" s="24">
        <f t="shared" si="6"/>
        <v>7980.7999999999993</v>
      </c>
      <c r="M35" s="24">
        <f t="shared" si="6"/>
        <v>8394.0999999999985</v>
      </c>
      <c r="N35" s="23">
        <f t="shared" si="6"/>
        <v>0</v>
      </c>
      <c r="O35" s="24">
        <f t="shared" si="6"/>
        <v>9059.7000000000007</v>
      </c>
      <c r="P35" s="24">
        <f t="shared" si="6"/>
        <v>8995.6</v>
      </c>
      <c r="Q35" s="24">
        <f t="shared" si="6"/>
        <v>11145.5</v>
      </c>
      <c r="R35" s="24">
        <f t="shared" si="6"/>
        <v>9617.1</v>
      </c>
      <c r="S35" s="24">
        <f t="shared" si="6"/>
        <v>9617.1</v>
      </c>
      <c r="T35" s="500">
        <f t="shared" si="5"/>
        <v>95038.200000000012</v>
      </c>
      <c r="U35" s="38"/>
    </row>
    <row r="36" spans="1:21" ht="35.1" customHeight="1" x14ac:dyDescent="0.25">
      <c r="A36" s="322" t="s">
        <v>325</v>
      </c>
      <c r="B36" s="323"/>
      <c r="C36" s="326"/>
      <c r="D36" s="326"/>
      <c r="E36" s="326"/>
      <c r="F36" s="326"/>
      <c r="G36" s="326"/>
      <c r="H36" s="24">
        <f>H14+H15+H20</f>
        <v>4599.6000000000004</v>
      </c>
      <c r="I36" s="24">
        <f>I14+I15+I20</f>
        <v>4788.3999999999996</v>
      </c>
      <c r="J36" s="24">
        <f>J14+J15+J20</f>
        <v>4560.6000000000004</v>
      </c>
      <c r="K36" s="24">
        <f>K14+K15+K20</f>
        <v>4565.7</v>
      </c>
      <c r="L36" s="24">
        <f t="shared" ref="L36:S36" si="7">L14+L15+L20+L19</f>
        <v>5116.3999999999996</v>
      </c>
      <c r="M36" s="24">
        <f t="shared" si="7"/>
        <v>5258.7</v>
      </c>
      <c r="N36" s="23">
        <f t="shared" si="7"/>
        <v>0</v>
      </c>
      <c r="O36" s="24">
        <f t="shared" si="7"/>
        <v>6598.4</v>
      </c>
      <c r="P36" s="24">
        <f t="shared" si="7"/>
        <v>8057.4000000000005</v>
      </c>
      <c r="Q36" s="24">
        <f t="shared" si="7"/>
        <v>9820.1</v>
      </c>
      <c r="R36" s="24">
        <f t="shared" si="7"/>
        <v>9617.1</v>
      </c>
      <c r="S36" s="24">
        <f t="shared" si="7"/>
        <v>9617.1</v>
      </c>
      <c r="T36" s="500">
        <f t="shared" si="5"/>
        <v>72599.5</v>
      </c>
      <c r="U36" s="38"/>
    </row>
    <row r="37" spans="1:21" ht="35.1" customHeight="1" x14ac:dyDescent="0.25">
      <c r="A37" s="322" t="s">
        <v>346</v>
      </c>
      <c r="B37" s="323"/>
      <c r="C37" s="326"/>
      <c r="D37" s="326"/>
      <c r="E37" s="326"/>
      <c r="F37" s="326"/>
      <c r="G37" s="326"/>
      <c r="H37" s="24">
        <f>H9+H10+H11+H12+H13+H16+H17+H21+H25+H26+H27+H28+H29+H30+H31+H32+H33</f>
        <v>1858.1</v>
      </c>
      <c r="I37" s="24">
        <f>I9+I10+I11+I12+I13+I16+I17+I21+I25+I26+I27+I28+I29+I30+I31+I32+I33</f>
        <v>2271.2999999999997</v>
      </c>
      <c r="J37" s="24">
        <f>J9+J10+J11+J12+J13+J16+J17+J21+J25+J26+J27+J28+J29+J30+J31+J32+J33</f>
        <v>2162.4</v>
      </c>
      <c r="K37" s="24">
        <f t="shared" ref="K37:Q37" si="8">K9+K10+K11+K12+K13+K16+K17+K21+K26+K27+K28+K29+K30+K31+K32+K33+K25</f>
        <v>2801.2</v>
      </c>
      <c r="L37" s="24">
        <f t="shared" si="8"/>
        <v>2173</v>
      </c>
      <c r="M37" s="24">
        <f t="shared" si="8"/>
        <v>2354.1999999999998</v>
      </c>
      <c r="N37" s="23">
        <f t="shared" si="8"/>
        <v>0</v>
      </c>
      <c r="O37" s="24">
        <f>O9+O10+O11+O12+O13+O16+O17+O21+O26+O27+O28+O29+O30+O31+O32+O33+O25</f>
        <v>2461.3000000000002</v>
      </c>
      <c r="P37" s="24">
        <f t="shared" si="8"/>
        <v>0</v>
      </c>
      <c r="Q37" s="24">
        <f t="shared" si="8"/>
        <v>0</v>
      </c>
      <c r="R37" s="38">
        <f t="shared" si="4"/>
        <v>0</v>
      </c>
      <c r="S37" s="38">
        <f t="shared" si="4"/>
        <v>0</v>
      </c>
      <c r="T37" s="500">
        <f t="shared" si="5"/>
        <v>16081.5</v>
      </c>
      <c r="U37" s="38"/>
    </row>
    <row r="38" spans="1:21" ht="35.1" customHeight="1" x14ac:dyDescent="0.25">
      <c r="A38" s="322" t="s">
        <v>347</v>
      </c>
      <c r="B38" s="323"/>
      <c r="C38" s="326"/>
      <c r="D38" s="326"/>
      <c r="E38" s="326"/>
      <c r="F38" s="326"/>
      <c r="G38" s="326"/>
      <c r="H38" s="24">
        <f t="shared" ref="H38:M38" si="9">H18</f>
        <v>533</v>
      </c>
      <c r="I38" s="24">
        <f t="shared" si="9"/>
        <v>705.2</v>
      </c>
      <c r="J38" s="24">
        <f t="shared" si="9"/>
        <v>691.4</v>
      </c>
      <c r="K38" s="24">
        <f t="shared" si="9"/>
        <v>691.4</v>
      </c>
      <c r="L38" s="24">
        <f t="shared" si="9"/>
        <v>691.4</v>
      </c>
      <c r="M38" s="24">
        <f t="shared" si="9"/>
        <v>781.19999999999993</v>
      </c>
      <c r="N38" s="23">
        <f>N18</f>
        <v>0</v>
      </c>
      <c r="O38" s="24">
        <f>O18</f>
        <v>0</v>
      </c>
      <c r="P38" s="479">
        <f>P18</f>
        <v>938.2</v>
      </c>
      <c r="Q38" s="479">
        <f>Q18</f>
        <v>1325.4</v>
      </c>
      <c r="R38" s="38">
        <v>0</v>
      </c>
      <c r="S38" s="38">
        <f t="shared" si="4"/>
        <v>0</v>
      </c>
      <c r="T38" s="500">
        <f t="shared" si="5"/>
        <v>6357.2000000000007</v>
      </c>
      <c r="U38" s="38"/>
    </row>
    <row r="39" spans="1:21" s="523" customFormat="1" ht="35.1" customHeight="1" x14ac:dyDescent="0.25">
      <c r="A39" s="518"/>
      <c r="B39" s="518"/>
      <c r="C39" s="519"/>
      <c r="D39" s="519"/>
      <c r="E39" s="519"/>
      <c r="F39" s="519"/>
      <c r="G39" s="519"/>
      <c r="H39" s="519"/>
      <c r="I39" s="520"/>
      <c r="J39" s="520"/>
      <c r="K39" s="521"/>
      <c r="L39" s="521"/>
      <c r="M39" s="521"/>
      <c r="N39" s="522"/>
      <c r="O39" s="521"/>
      <c r="P39" s="521"/>
      <c r="Q39" s="521"/>
      <c r="R39" s="521"/>
      <c r="S39" s="521"/>
      <c r="T39" s="521"/>
    </row>
    <row r="40" spans="1:21" ht="35.1" customHeight="1" x14ac:dyDescent="0.3">
      <c r="A40" s="524" t="s">
        <v>33</v>
      </c>
      <c r="B40" s="524"/>
      <c r="C40" s="524"/>
      <c r="D40" s="525"/>
      <c r="E40" s="525"/>
      <c r="F40" s="525"/>
      <c r="G40" s="525"/>
      <c r="H40" s="525"/>
      <c r="I40" s="526"/>
      <c r="J40" s="358"/>
      <c r="K40" s="358"/>
      <c r="L40" s="358"/>
      <c r="M40" s="358"/>
      <c r="N40" s="466"/>
      <c r="O40" s="358"/>
      <c r="P40" s="358"/>
      <c r="Q40" s="358"/>
      <c r="R40" s="358"/>
      <c r="S40" s="358"/>
      <c r="T40" s="358"/>
      <c r="U40" s="527" t="s">
        <v>34</v>
      </c>
    </row>
    <row r="41" spans="1:21" x14ac:dyDescent="0.25">
      <c r="A41" s="337"/>
      <c r="B41" s="338"/>
      <c r="C41" s="339"/>
      <c r="D41" s="339"/>
      <c r="E41" s="339"/>
      <c r="F41" s="339"/>
      <c r="G41" s="339"/>
      <c r="H41" s="339"/>
    </row>
    <row r="42" spans="1:21" x14ac:dyDescent="0.25">
      <c r="A42" s="337"/>
      <c r="B42" s="338"/>
      <c r="C42" s="339"/>
      <c r="D42" s="339"/>
      <c r="E42" s="339"/>
      <c r="F42" s="339"/>
      <c r="G42" s="339"/>
      <c r="H42" s="339"/>
    </row>
    <row r="43" spans="1:21" x14ac:dyDescent="0.25">
      <c r="A43" s="337"/>
      <c r="B43" s="338"/>
      <c r="C43" s="339"/>
      <c r="D43" s="339"/>
      <c r="E43" s="339"/>
      <c r="F43" s="339"/>
      <c r="G43" s="339"/>
      <c r="H43" s="339"/>
    </row>
    <row r="44" spans="1:21" x14ac:dyDescent="0.25">
      <c r="A44" s="337"/>
      <c r="B44" s="338"/>
      <c r="C44" s="339"/>
      <c r="D44" s="339"/>
      <c r="E44" s="339"/>
      <c r="F44" s="339"/>
      <c r="G44" s="339"/>
      <c r="H44" s="339"/>
    </row>
    <row r="45" spans="1:21" x14ac:dyDescent="0.25">
      <c r="A45" s="337"/>
      <c r="B45" s="338"/>
      <c r="C45" s="339"/>
      <c r="D45" s="339"/>
      <c r="E45" s="339"/>
      <c r="F45" s="339"/>
      <c r="G45" s="339"/>
      <c r="H45" s="339"/>
    </row>
    <row r="46" spans="1:21" x14ac:dyDescent="0.25">
      <c r="A46" s="337"/>
      <c r="B46" s="338"/>
      <c r="C46" s="339"/>
      <c r="D46" s="339"/>
      <c r="E46" s="339"/>
      <c r="F46" s="339"/>
      <c r="G46" s="339"/>
      <c r="H46" s="339"/>
    </row>
    <row r="47" spans="1:21" x14ac:dyDescent="0.25">
      <c r="A47" s="337"/>
      <c r="B47" s="338"/>
      <c r="C47" s="339"/>
      <c r="D47" s="339"/>
      <c r="E47" s="339"/>
      <c r="F47" s="339"/>
      <c r="G47" s="339"/>
      <c r="H47" s="339"/>
    </row>
    <row r="48" spans="1:21" x14ac:dyDescent="0.25">
      <c r="A48" s="337"/>
      <c r="B48" s="338"/>
      <c r="C48" s="339"/>
      <c r="D48" s="339"/>
      <c r="E48" s="339"/>
      <c r="F48" s="339"/>
      <c r="G48" s="339"/>
      <c r="H48" s="339"/>
    </row>
    <row r="49" spans="1:8" x14ac:dyDescent="0.25">
      <c r="A49" s="337"/>
      <c r="B49" s="338"/>
      <c r="C49" s="339"/>
      <c r="D49" s="339"/>
      <c r="E49" s="339"/>
      <c r="F49" s="339"/>
      <c r="G49" s="339"/>
      <c r="H49" s="339"/>
    </row>
    <row r="50" spans="1:8" x14ac:dyDescent="0.25">
      <c r="A50" s="337"/>
      <c r="B50" s="338"/>
      <c r="C50" s="339"/>
      <c r="D50" s="339"/>
      <c r="E50" s="339"/>
      <c r="F50" s="339"/>
      <c r="G50" s="339"/>
      <c r="H50" s="339"/>
    </row>
    <row r="51" spans="1:8" x14ac:dyDescent="0.25">
      <c r="A51" s="337"/>
      <c r="B51" s="338"/>
      <c r="C51" s="339"/>
      <c r="D51" s="339"/>
      <c r="E51" s="339"/>
      <c r="F51" s="339"/>
      <c r="G51" s="339"/>
      <c r="H51" s="339"/>
    </row>
    <row r="52" spans="1:8" x14ac:dyDescent="0.25">
      <c r="A52" s="337"/>
      <c r="B52" s="338"/>
      <c r="C52" s="339"/>
      <c r="D52" s="339"/>
      <c r="E52" s="339"/>
      <c r="F52" s="339"/>
      <c r="G52" s="339"/>
      <c r="H52" s="339"/>
    </row>
    <row r="53" spans="1:8" x14ac:dyDescent="0.25">
      <c r="A53" s="337"/>
      <c r="B53" s="338"/>
      <c r="C53" s="339"/>
      <c r="D53" s="339"/>
      <c r="E53" s="339"/>
      <c r="F53" s="339"/>
      <c r="G53" s="339"/>
      <c r="H53" s="339"/>
    </row>
    <row r="54" spans="1:8" x14ac:dyDescent="0.25">
      <c r="A54" s="337"/>
      <c r="B54" s="338"/>
      <c r="C54" s="339"/>
      <c r="D54" s="339"/>
      <c r="E54" s="339"/>
      <c r="F54" s="339"/>
      <c r="G54" s="339"/>
      <c r="H54" s="339"/>
    </row>
    <row r="55" spans="1:8" x14ac:dyDescent="0.25">
      <c r="A55" s="337"/>
      <c r="B55" s="338"/>
      <c r="C55" s="339"/>
      <c r="D55" s="339"/>
      <c r="E55" s="339"/>
      <c r="F55" s="339"/>
      <c r="G55" s="339"/>
      <c r="H55" s="339"/>
    </row>
    <row r="56" spans="1:8" x14ac:dyDescent="0.25">
      <c r="A56" s="337"/>
      <c r="B56" s="338"/>
      <c r="C56" s="339"/>
      <c r="D56" s="339"/>
      <c r="E56" s="339"/>
      <c r="F56" s="339"/>
      <c r="G56" s="339"/>
      <c r="H56" s="339"/>
    </row>
    <row r="57" spans="1:8" x14ac:dyDescent="0.25">
      <c r="A57" s="337"/>
      <c r="B57" s="338"/>
      <c r="C57" s="339"/>
      <c r="D57" s="339"/>
      <c r="E57" s="339"/>
      <c r="F57" s="339"/>
      <c r="G57" s="339"/>
      <c r="H57" s="339"/>
    </row>
    <row r="58" spans="1:8" x14ac:dyDescent="0.25">
      <c r="A58" s="337"/>
      <c r="B58" s="338"/>
      <c r="C58" s="339"/>
      <c r="D58" s="339"/>
      <c r="E58" s="339"/>
      <c r="F58" s="339"/>
      <c r="G58" s="339"/>
      <c r="H58" s="339"/>
    </row>
    <row r="59" spans="1:8" x14ac:dyDescent="0.25">
      <c r="A59" s="337"/>
      <c r="B59" s="338"/>
      <c r="C59" s="339"/>
      <c r="D59" s="339"/>
      <c r="E59" s="339"/>
      <c r="F59" s="339"/>
      <c r="G59" s="339"/>
      <c r="H59" s="339"/>
    </row>
    <row r="60" spans="1:8" x14ac:dyDescent="0.25">
      <c r="A60" s="337"/>
      <c r="B60" s="338"/>
      <c r="C60" s="339"/>
      <c r="D60" s="339"/>
      <c r="E60" s="339"/>
      <c r="F60" s="339"/>
      <c r="G60" s="339"/>
      <c r="H60" s="339"/>
    </row>
    <row r="61" spans="1:8" x14ac:dyDescent="0.25">
      <c r="A61" s="337"/>
      <c r="B61" s="338"/>
      <c r="C61" s="339"/>
      <c r="D61" s="339"/>
      <c r="E61" s="339"/>
      <c r="F61" s="339"/>
      <c r="G61" s="339"/>
      <c r="H61" s="339"/>
    </row>
    <row r="62" spans="1:8" x14ac:dyDescent="0.25">
      <c r="A62" s="337"/>
      <c r="B62" s="338"/>
      <c r="C62" s="339"/>
      <c r="D62" s="339"/>
      <c r="E62" s="339"/>
      <c r="F62" s="339"/>
      <c r="G62" s="339"/>
      <c r="H62" s="339"/>
    </row>
    <row r="63" spans="1:8" x14ac:dyDescent="0.25">
      <c r="A63" s="337"/>
      <c r="B63" s="338"/>
      <c r="C63" s="339"/>
      <c r="D63" s="339"/>
      <c r="E63" s="339"/>
      <c r="F63" s="339"/>
      <c r="G63" s="339"/>
      <c r="H63" s="339"/>
    </row>
    <row r="64" spans="1:8" x14ac:dyDescent="0.25">
      <c r="A64" s="337"/>
      <c r="B64" s="338"/>
      <c r="C64" s="339"/>
      <c r="D64" s="339"/>
      <c r="E64" s="339"/>
      <c r="F64" s="339"/>
      <c r="G64" s="339"/>
      <c r="H64" s="339"/>
    </row>
    <row r="65" spans="1:8" x14ac:dyDescent="0.25">
      <c r="A65" s="337"/>
      <c r="B65" s="338"/>
      <c r="C65" s="339"/>
      <c r="D65" s="339"/>
      <c r="E65" s="339"/>
      <c r="F65" s="339"/>
      <c r="G65" s="339"/>
      <c r="H65" s="339"/>
    </row>
    <row r="66" spans="1:8" x14ac:dyDescent="0.25">
      <c r="A66" s="337"/>
      <c r="B66" s="338"/>
      <c r="C66" s="339"/>
      <c r="D66" s="339"/>
      <c r="E66" s="339"/>
      <c r="F66" s="339"/>
      <c r="G66" s="339"/>
      <c r="H66" s="339"/>
    </row>
    <row r="67" spans="1:8" x14ac:dyDescent="0.25">
      <c r="A67" s="337"/>
      <c r="B67" s="338"/>
      <c r="C67" s="339"/>
      <c r="D67" s="339"/>
      <c r="E67" s="339"/>
      <c r="F67" s="339"/>
      <c r="G67" s="339"/>
      <c r="H67" s="339"/>
    </row>
    <row r="68" spans="1:8" x14ac:dyDescent="0.25">
      <c r="A68" s="337"/>
      <c r="B68" s="338"/>
      <c r="C68" s="339"/>
      <c r="D68" s="339"/>
      <c r="E68" s="339"/>
      <c r="F68" s="339"/>
      <c r="G68" s="339"/>
      <c r="H68" s="339"/>
    </row>
    <row r="69" spans="1:8" x14ac:dyDescent="0.25">
      <c r="A69" s="337"/>
      <c r="B69" s="338"/>
      <c r="C69" s="339"/>
      <c r="D69" s="339"/>
      <c r="E69" s="339"/>
      <c r="F69" s="339"/>
      <c r="G69" s="339"/>
      <c r="H69" s="339"/>
    </row>
    <row r="70" spans="1:8" x14ac:dyDescent="0.25">
      <c r="A70" s="337"/>
      <c r="B70" s="338"/>
      <c r="C70" s="339"/>
      <c r="D70" s="339"/>
      <c r="E70" s="339"/>
      <c r="F70" s="339"/>
      <c r="G70" s="339"/>
      <c r="H70" s="339"/>
    </row>
    <row r="71" spans="1:8" x14ac:dyDescent="0.25">
      <c r="A71" s="337"/>
      <c r="B71" s="338"/>
      <c r="C71" s="339"/>
      <c r="D71" s="339"/>
      <c r="E71" s="339"/>
      <c r="F71" s="339"/>
      <c r="G71" s="339"/>
      <c r="H71" s="339"/>
    </row>
    <row r="72" spans="1:8" x14ac:dyDescent="0.25">
      <c r="A72" s="337"/>
      <c r="B72" s="338"/>
      <c r="C72" s="339"/>
      <c r="D72" s="339"/>
      <c r="E72" s="339"/>
      <c r="F72" s="339"/>
      <c r="G72" s="339"/>
      <c r="H72" s="339"/>
    </row>
    <row r="73" spans="1:8" x14ac:dyDescent="0.25">
      <c r="A73" s="337"/>
      <c r="B73" s="338"/>
      <c r="C73" s="339"/>
      <c r="D73" s="339"/>
      <c r="E73" s="339"/>
      <c r="F73" s="339"/>
      <c r="G73" s="339"/>
      <c r="H73" s="339"/>
    </row>
    <row r="74" spans="1:8" x14ac:dyDescent="0.25">
      <c r="A74" s="337"/>
      <c r="B74" s="338"/>
      <c r="C74" s="339"/>
      <c r="D74" s="339"/>
      <c r="E74" s="339"/>
      <c r="F74" s="339"/>
      <c r="G74" s="339"/>
      <c r="H74" s="339"/>
    </row>
    <row r="75" spans="1:8" x14ac:dyDescent="0.25">
      <c r="A75" s="337"/>
      <c r="B75" s="338"/>
      <c r="C75" s="339"/>
      <c r="D75" s="339"/>
      <c r="E75" s="339"/>
      <c r="F75" s="339"/>
      <c r="G75" s="339"/>
      <c r="H75" s="339"/>
    </row>
    <row r="76" spans="1:8" x14ac:dyDescent="0.25">
      <c r="A76" s="337"/>
      <c r="B76" s="338"/>
      <c r="C76" s="339"/>
      <c r="D76" s="339"/>
      <c r="E76" s="339"/>
      <c r="F76" s="339"/>
      <c r="G76" s="339"/>
      <c r="H76" s="339"/>
    </row>
    <row r="77" spans="1:8" x14ac:dyDescent="0.25">
      <c r="A77" s="337"/>
      <c r="B77" s="338"/>
      <c r="C77" s="339"/>
      <c r="D77" s="339"/>
      <c r="E77" s="339"/>
      <c r="F77" s="339"/>
      <c r="G77" s="339"/>
      <c r="H77" s="339"/>
    </row>
  </sheetData>
  <autoFilter ref="A4:V35"/>
  <mergeCells count="45">
    <mergeCell ref="A40:C40"/>
    <mergeCell ref="A34:B34"/>
    <mergeCell ref="A35:B35"/>
    <mergeCell ref="A36:B36"/>
    <mergeCell ref="A37:B37"/>
    <mergeCell ref="A38:B38"/>
    <mergeCell ref="A39:B39"/>
    <mergeCell ref="A27:A28"/>
    <mergeCell ref="B27:B28"/>
    <mergeCell ref="C27:C28"/>
    <mergeCell ref="U27:U28"/>
    <mergeCell ref="A29:A33"/>
    <mergeCell ref="B29:B33"/>
    <mergeCell ref="C29:C33"/>
    <mergeCell ref="U29:U33"/>
    <mergeCell ref="A23:B23"/>
    <mergeCell ref="A24:U24"/>
    <mergeCell ref="A25:A26"/>
    <mergeCell ref="B25:B26"/>
    <mergeCell ref="C25:C26"/>
    <mergeCell ref="U25:U26"/>
    <mergeCell ref="A12:A13"/>
    <mergeCell ref="B12:B13"/>
    <mergeCell ref="C12:C13"/>
    <mergeCell ref="U12:U13"/>
    <mergeCell ref="A14:A18"/>
    <mergeCell ref="B14:B15"/>
    <mergeCell ref="C14:C18"/>
    <mergeCell ref="U14:U18"/>
    <mergeCell ref="B16:B17"/>
    <mergeCell ref="A5:U5"/>
    <mergeCell ref="A7:U7"/>
    <mergeCell ref="A8:A10"/>
    <mergeCell ref="B8:B10"/>
    <mergeCell ref="C8:C10"/>
    <mergeCell ref="U9:U10"/>
    <mergeCell ref="I1:J1"/>
    <mergeCell ref="T1:U1"/>
    <mergeCell ref="A2:U2"/>
    <mergeCell ref="A3:A4"/>
    <mergeCell ref="B3:B4"/>
    <mergeCell ref="C3:C4"/>
    <mergeCell ref="D3:G3"/>
    <mergeCell ref="I3:T3"/>
    <mergeCell ref="U3:U4"/>
  </mergeCells>
  <pageMargins left="0.51181102362204722" right="0.39370078740157483" top="0.55118110236220474" bottom="0.35433070866141736" header="0.31496062992125984" footer="0.31496062992125984"/>
  <pageSetup paperSize="9" scale="42" fitToHeight="0" orientation="landscape" r:id="rId1"/>
  <headerFooter differentFirst="1">
    <oddHeader>&amp;C&amp;P</oddHeader>
  </headerFooter>
  <rowBreaks count="1" manualBreakCount="1">
    <brk id="24" max="20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P37"/>
  <sheetViews>
    <sheetView view="pageBreakPreview" zoomScaleNormal="100" zoomScaleSheetLayoutView="100" workbookViewId="0">
      <pane xSplit="2" ySplit="6" topLeftCell="G13" activePane="bottomRight" state="frozen"/>
      <selection activeCell="Q12" sqref="Q12"/>
      <selection pane="topRight" activeCell="Q12" sqref="Q12"/>
      <selection pane="bottomLeft" activeCell="Q12" sqref="Q12"/>
      <selection pane="bottomRight" activeCell="M14" sqref="M14:P14"/>
    </sheetView>
  </sheetViews>
  <sheetFormatPr defaultRowHeight="15.75" x14ac:dyDescent="0.25"/>
  <cols>
    <col min="1" max="1" width="7.5703125" style="207" customWidth="1"/>
    <col min="2" max="2" width="79.140625" style="57" customWidth="1"/>
    <col min="3" max="3" width="12" style="57" customWidth="1"/>
    <col min="4" max="4" width="24.42578125" style="57" customWidth="1"/>
    <col min="5" max="11" width="10.7109375" style="57" customWidth="1"/>
    <col min="12" max="12" width="10.7109375" style="138" customWidth="1"/>
    <col min="13" max="13" width="9.140625" style="528"/>
    <col min="14" max="16384" width="9.140625" style="57"/>
  </cols>
  <sheetData>
    <row r="1" spans="1:16" ht="50.25" customHeight="1" x14ac:dyDescent="0.25">
      <c r="A1" s="133"/>
      <c r="B1" s="134"/>
      <c r="C1" s="135"/>
      <c r="D1" s="134"/>
      <c r="E1" s="136" t="s">
        <v>602</v>
      </c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</row>
    <row r="2" spans="1:16" ht="37.5" customHeight="1" x14ac:dyDescent="0.25">
      <c r="A2" s="244" t="s">
        <v>259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</row>
    <row r="3" spans="1:16" ht="25.5" customHeight="1" x14ac:dyDescent="0.25">
      <c r="A3" s="139" t="s">
        <v>97</v>
      </c>
      <c r="B3" s="140" t="s">
        <v>260</v>
      </c>
      <c r="C3" s="140" t="s">
        <v>99</v>
      </c>
      <c r="D3" s="140" t="s">
        <v>101</v>
      </c>
      <c r="E3" s="53" t="s">
        <v>42</v>
      </c>
      <c r="F3" s="53" t="s">
        <v>43</v>
      </c>
      <c r="G3" s="53" t="s">
        <v>44</v>
      </c>
      <c r="H3" s="53" t="s">
        <v>45</v>
      </c>
      <c r="I3" s="53" t="s">
        <v>46</v>
      </c>
      <c r="J3" s="53" t="s">
        <v>47</v>
      </c>
      <c r="K3" s="53" t="s">
        <v>48</v>
      </c>
      <c r="L3" s="53" t="s">
        <v>49</v>
      </c>
      <c r="M3" s="53" t="s">
        <v>50</v>
      </c>
      <c r="N3" s="53" t="s">
        <v>51</v>
      </c>
      <c r="O3" s="53" t="s">
        <v>52</v>
      </c>
      <c r="P3" s="53" t="s">
        <v>53</v>
      </c>
    </row>
    <row r="4" spans="1:16" ht="12" customHeight="1" x14ac:dyDescent="0.25">
      <c r="A4" s="139"/>
      <c r="B4" s="140"/>
      <c r="C4" s="140"/>
      <c r="D4" s="140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6" ht="25.5" customHeight="1" x14ac:dyDescent="0.25">
      <c r="A5" s="139"/>
      <c r="B5" s="140"/>
      <c r="C5" s="140"/>
      <c r="D5" s="140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6" ht="27" customHeight="1" x14ac:dyDescent="0.25">
      <c r="A6" s="529" t="s">
        <v>603</v>
      </c>
      <c r="B6" s="529"/>
      <c r="C6" s="529"/>
      <c r="D6" s="529"/>
      <c r="E6" s="529"/>
      <c r="F6" s="529"/>
      <c r="G6" s="529"/>
      <c r="H6" s="529"/>
      <c r="I6" s="529"/>
      <c r="J6" s="529"/>
      <c r="K6" s="529"/>
      <c r="L6" s="530"/>
    </row>
    <row r="7" spans="1:16" ht="33" customHeight="1" x14ac:dyDescent="0.25">
      <c r="A7" s="282" t="s">
        <v>604</v>
      </c>
      <c r="B7" s="282"/>
      <c r="C7" s="282"/>
      <c r="D7" s="282"/>
      <c r="E7" s="282"/>
      <c r="F7" s="282"/>
      <c r="G7" s="282"/>
      <c r="H7" s="282"/>
      <c r="I7" s="282"/>
      <c r="J7" s="282"/>
      <c r="K7" s="282"/>
      <c r="L7" s="530"/>
    </row>
    <row r="8" spans="1:16" ht="42" customHeight="1" x14ac:dyDescent="0.25">
      <c r="A8" s="144" t="s">
        <v>605</v>
      </c>
      <c r="B8" s="146" t="s">
        <v>190</v>
      </c>
      <c r="C8" s="144" t="s">
        <v>191</v>
      </c>
      <c r="D8" s="144" t="s">
        <v>21</v>
      </c>
      <c r="E8" s="12">
        <v>1460</v>
      </c>
      <c r="F8" s="531">
        <v>1470</v>
      </c>
      <c r="G8" s="144">
        <v>1470</v>
      </c>
      <c r="H8" s="144">
        <v>2863</v>
      </c>
      <c r="I8" s="144">
        <v>3174</v>
      </c>
      <c r="J8" s="144">
        <v>3205</v>
      </c>
      <c r="K8" s="144">
        <v>3199</v>
      </c>
      <c r="L8" s="144">
        <v>3378</v>
      </c>
      <c r="M8" s="144">
        <v>4143.7</v>
      </c>
      <c r="N8" s="128">
        <v>4143.7</v>
      </c>
      <c r="O8" s="128">
        <v>4143.7</v>
      </c>
      <c r="P8" s="128">
        <v>4143.7</v>
      </c>
    </row>
    <row r="9" spans="1:16" ht="31.5" x14ac:dyDescent="0.25">
      <c r="A9" s="144" t="s">
        <v>192</v>
      </c>
      <c r="B9" s="146" t="s">
        <v>193</v>
      </c>
      <c r="C9" s="144" t="s">
        <v>191</v>
      </c>
      <c r="D9" s="144" t="s">
        <v>21</v>
      </c>
      <c r="E9" s="12">
        <v>28870</v>
      </c>
      <c r="F9" s="531">
        <v>29600</v>
      </c>
      <c r="G9" s="144">
        <v>30690</v>
      </c>
      <c r="H9" s="144">
        <v>32180</v>
      </c>
      <c r="I9" s="144">
        <v>33390</v>
      </c>
      <c r="J9" s="144">
        <v>38561</v>
      </c>
      <c r="K9" s="144">
        <v>38575</v>
      </c>
      <c r="L9" s="144">
        <v>42480</v>
      </c>
      <c r="M9" s="144">
        <v>61044</v>
      </c>
      <c r="N9" s="131">
        <v>61427</v>
      </c>
      <c r="O9" s="131">
        <v>61427</v>
      </c>
      <c r="P9" s="131">
        <v>61427</v>
      </c>
    </row>
    <row r="10" spans="1:16" ht="63" x14ac:dyDescent="0.25">
      <c r="A10" s="144" t="s">
        <v>194</v>
      </c>
      <c r="B10" s="146" t="s">
        <v>195</v>
      </c>
      <c r="C10" s="144" t="s">
        <v>191</v>
      </c>
      <c r="D10" s="144" t="s">
        <v>21</v>
      </c>
      <c r="E10" s="12">
        <v>17972</v>
      </c>
      <c r="F10" s="531">
        <v>18638</v>
      </c>
      <c r="G10" s="144">
        <v>19328</v>
      </c>
      <c r="H10" s="144">
        <v>21911</v>
      </c>
      <c r="I10" s="144">
        <v>24405</v>
      </c>
      <c r="J10" s="144">
        <v>28687</v>
      </c>
      <c r="K10" s="144">
        <v>32078</v>
      </c>
      <c r="L10" s="144">
        <v>33427</v>
      </c>
      <c r="M10" s="144">
        <v>36728</v>
      </c>
      <c r="N10" s="131">
        <v>41968</v>
      </c>
      <c r="O10" s="131">
        <v>41968</v>
      </c>
      <c r="P10" s="131">
        <v>41968</v>
      </c>
    </row>
    <row r="11" spans="1:16" ht="31.5" x14ac:dyDescent="0.25">
      <c r="A11" s="144" t="s">
        <v>196</v>
      </c>
      <c r="B11" s="146" t="s">
        <v>197</v>
      </c>
      <c r="C11" s="144" t="s">
        <v>198</v>
      </c>
      <c r="D11" s="144" t="s">
        <v>110</v>
      </c>
      <c r="E11" s="12">
        <v>25.02</v>
      </c>
      <c r="F11" s="11">
        <v>25</v>
      </c>
      <c r="G11" s="144">
        <v>25</v>
      </c>
      <c r="H11" s="144">
        <v>23.9</v>
      </c>
      <c r="I11" s="144">
        <v>24</v>
      </c>
      <c r="J11" s="144">
        <v>24</v>
      </c>
      <c r="K11" s="144">
        <v>24</v>
      </c>
      <c r="L11" s="144">
        <v>25</v>
      </c>
      <c r="M11" s="144">
        <v>25</v>
      </c>
      <c r="N11" s="128">
        <v>25</v>
      </c>
      <c r="O11" s="128">
        <v>25</v>
      </c>
      <c r="P11" s="128">
        <f t="shared" ref="P11:P25" si="0">N11</f>
        <v>25</v>
      </c>
    </row>
    <row r="12" spans="1:16" ht="31.5" x14ac:dyDescent="0.25">
      <c r="A12" s="144" t="s">
        <v>199</v>
      </c>
      <c r="B12" s="146" t="s">
        <v>200</v>
      </c>
      <c r="C12" s="144" t="s">
        <v>198</v>
      </c>
      <c r="D12" s="144" t="s">
        <v>110</v>
      </c>
      <c r="E12" s="12">
        <v>18.82</v>
      </c>
      <c r="F12" s="11">
        <v>18.82</v>
      </c>
      <c r="G12" s="144">
        <v>18.8</v>
      </c>
      <c r="H12" s="144">
        <v>17</v>
      </c>
      <c r="I12" s="144">
        <v>17</v>
      </c>
      <c r="J12" s="144">
        <v>17</v>
      </c>
      <c r="K12" s="144">
        <v>17</v>
      </c>
      <c r="L12" s="144">
        <v>17</v>
      </c>
      <c r="M12" s="144">
        <v>16</v>
      </c>
      <c r="N12" s="128">
        <f t="shared" ref="N12:O25" si="1">M12</f>
        <v>16</v>
      </c>
      <c r="O12" s="128">
        <f t="shared" si="1"/>
        <v>16</v>
      </c>
      <c r="P12" s="128">
        <f t="shared" si="0"/>
        <v>16</v>
      </c>
    </row>
    <row r="13" spans="1:16" ht="78.75" x14ac:dyDescent="0.25">
      <c r="A13" s="144" t="s">
        <v>201</v>
      </c>
      <c r="B13" s="146" t="s">
        <v>202</v>
      </c>
      <c r="C13" s="144" t="s">
        <v>203</v>
      </c>
      <c r="D13" s="144" t="s">
        <v>110</v>
      </c>
      <c r="E13" s="12">
        <v>0.7</v>
      </c>
      <c r="F13" s="11">
        <v>0.7</v>
      </c>
      <c r="G13" s="144">
        <v>0.7</v>
      </c>
      <c r="H13" s="144">
        <v>0.7</v>
      </c>
      <c r="I13" s="144">
        <v>0.7</v>
      </c>
      <c r="J13" s="144">
        <v>0.7</v>
      </c>
      <c r="K13" s="144">
        <v>0.7</v>
      </c>
      <c r="L13" s="144">
        <v>0.5</v>
      </c>
      <c r="M13" s="144">
        <v>0.9</v>
      </c>
      <c r="N13" s="128">
        <v>0.9</v>
      </c>
      <c r="O13" s="128">
        <v>0.9</v>
      </c>
      <c r="P13" s="128">
        <f t="shared" si="0"/>
        <v>0.9</v>
      </c>
    </row>
    <row r="14" spans="1:16" ht="31.5" x14ac:dyDescent="0.25">
      <c r="A14" s="144" t="s">
        <v>204</v>
      </c>
      <c r="B14" s="146" t="s">
        <v>205</v>
      </c>
      <c r="C14" s="144" t="s">
        <v>140</v>
      </c>
      <c r="D14" s="144" t="s">
        <v>21</v>
      </c>
      <c r="E14" s="144">
        <v>18</v>
      </c>
      <c r="F14" s="144">
        <v>18</v>
      </c>
      <c r="G14" s="144">
        <v>18</v>
      </c>
      <c r="H14" s="144">
        <v>14</v>
      </c>
      <c r="I14" s="144">
        <v>14</v>
      </c>
      <c r="J14" s="144">
        <v>14</v>
      </c>
      <c r="K14" s="144">
        <v>14</v>
      </c>
      <c r="L14" s="144">
        <v>14</v>
      </c>
      <c r="M14" s="183">
        <v>16</v>
      </c>
      <c r="N14" s="131">
        <v>2</v>
      </c>
      <c r="O14" s="131">
        <v>0</v>
      </c>
      <c r="P14" s="131">
        <v>0</v>
      </c>
    </row>
    <row r="15" spans="1:16" ht="68.25" customHeight="1" x14ac:dyDescent="0.25">
      <c r="A15" s="144" t="s">
        <v>206</v>
      </c>
      <c r="B15" s="146" t="s">
        <v>207</v>
      </c>
      <c r="C15" s="144" t="s">
        <v>208</v>
      </c>
      <c r="D15" s="144" t="s">
        <v>209</v>
      </c>
      <c r="E15" s="144">
        <v>5</v>
      </c>
      <c r="F15" s="144">
        <v>5</v>
      </c>
      <c r="G15" s="144">
        <v>5</v>
      </c>
      <c r="H15" s="144">
        <v>5</v>
      </c>
      <c r="I15" s="144">
        <v>5</v>
      </c>
      <c r="J15" s="144">
        <v>5</v>
      </c>
      <c r="K15" s="144">
        <v>5</v>
      </c>
      <c r="L15" s="144">
        <v>5</v>
      </c>
      <c r="M15" s="144">
        <v>5</v>
      </c>
      <c r="N15" s="128">
        <f t="shared" si="1"/>
        <v>5</v>
      </c>
      <c r="O15" s="128">
        <f t="shared" si="1"/>
        <v>5</v>
      </c>
      <c r="P15" s="128">
        <f t="shared" si="0"/>
        <v>5</v>
      </c>
    </row>
    <row r="16" spans="1:16" ht="72.75" customHeight="1" x14ac:dyDescent="0.25">
      <c r="A16" s="36" t="s">
        <v>210</v>
      </c>
      <c r="B16" s="532" t="s">
        <v>211</v>
      </c>
      <c r="C16" s="144" t="s">
        <v>208</v>
      </c>
      <c r="D16" s="144" t="s">
        <v>209</v>
      </c>
      <c r="E16" s="35">
        <v>5</v>
      </c>
      <c r="F16" s="35">
        <v>5</v>
      </c>
      <c r="G16" s="35">
        <v>5</v>
      </c>
      <c r="H16" s="35">
        <v>5</v>
      </c>
      <c r="I16" s="35">
        <v>5</v>
      </c>
      <c r="J16" s="35">
        <v>5</v>
      </c>
      <c r="K16" s="35">
        <v>5</v>
      </c>
      <c r="L16" s="35">
        <v>5</v>
      </c>
      <c r="M16" s="35">
        <v>5</v>
      </c>
      <c r="N16" s="128">
        <f t="shared" si="1"/>
        <v>5</v>
      </c>
      <c r="O16" s="128">
        <f t="shared" si="1"/>
        <v>5</v>
      </c>
      <c r="P16" s="128">
        <f t="shared" si="0"/>
        <v>5</v>
      </c>
    </row>
    <row r="17" spans="1:16" ht="157.5" x14ac:dyDescent="0.25">
      <c r="A17" s="36" t="s">
        <v>212</v>
      </c>
      <c r="B17" s="194" t="s">
        <v>606</v>
      </c>
      <c r="C17" s="144" t="s">
        <v>208</v>
      </c>
      <c r="D17" s="144" t="s">
        <v>209</v>
      </c>
      <c r="E17" s="35">
        <v>5</v>
      </c>
      <c r="F17" s="35">
        <v>5</v>
      </c>
      <c r="G17" s="35">
        <v>5</v>
      </c>
      <c r="H17" s="35">
        <v>5</v>
      </c>
      <c r="I17" s="35">
        <v>5</v>
      </c>
      <c r="J17" s="35">
        <v>5</v>
      </c>
      <c r="K17" s="35">
        <v>5</v>
      </c>
      <c r="L17" s="35">
        <v>5</v>
      </c>
      <c r="M17" s="35">
        <v>5</v>
      </c>
      <c r="N17" s="128">
        <f t="shared" si="1"/>
        <v>5</v>
      </c>
      <c r="O17" s="128">
        <f t="shared" si="1"/>
        <v>5</v>
      </c>
      <c r="P17" s="128">
        <f t="shared" si="0"/>
        <v>5</v>
      </c>
    </row>
    <row r="18" spans="1:16" ht="94.5" x14ac:dyDescent="0.25">
      <c r="A18" s="36" t="s">
        <v>214</v>
      </c>
      <c r="B18" s="194" t="s">
        <v>215</v>
      </c>
      <c r="C18" s="144" t="s">
        <v>208</v>
      </c>
      <c r="D18" s="144" t="s">
        <v>209</v>
      </c>
      <c r="E18" s="35">
        <v>5</v>
      </c>
      <c r="F18" s="35">
        <v>5</v>
      </c>
      <c r="G18" s="35">
        <v>5</v>
      </c>
      <c r="H18" s="35">
        <v>5</v>
      </c>
      <c r="I18" s="35">
        <v>5</v>
      </c>
      <c r="J18" s="35">
        <v>5</v>
      </c>
      <c r="K18" s="35">
        <v>5</v>
      </c>
      <c r="L18" s="35">
        <v>5</v>
      </c>
      <c r="M18" s="35">
        <v>5</v>
      </c>
      <c r="N18" s="128">
        <f t="shared" si="1"/>
        <v>5</v>
      </c>
      <c r="O18" s="128">
        <f t="shared" si="1"/>
        <v>5</v>
      </c>
      <c r="P18" s="128">
        <f t="shared" si="0"/>
        <v>5</v>
      </c>
    </row>
    <row r="19" spans="1:16" ht="63" x14ac:dyDescent="0.25">
      <c r="A19" s="36" t="s">
        <v>216</v>
      </c>
      <c r="B19" s="194" t="s">
        <v>217</v>
      </c>
      <c r="C19" s="144" t="s">
        <v>208</v>
      </c>
      <c r="D19" s="144" t="s">
        <v>607</v>
      </c>
      <c r="E19" s="35">
        <v>5</v>
      </c>
      <c r="F19" s="35">
        <v>5</v>
      </c>
      <c r="G19" s="35">
        <v>5</v>
      </c>
      <c r="H19" s="35">
        <v>5</v>
      </c>
      <c r="I19" s="35">
        <v>5</v>
      </c>
      <c r="J19" s="35">
        <v>5</v>
      </c>
      <c r="K19" s="35">
        <v>5</v>
      </c>
      <c r="L19" s="35">
        <v>5</v>
      </c>
      <c r="M19" s="35">
        <v>5</v>
      </c>
      <c r="N19" s="128">
        <f t="shared" si="1"/>
        <v>5</v>
      </c>
      <c r="O19" s="128">
        <f t="shared" si="1"/>
        <v>5</v>
      </c>
      <c r="P19" s="128">
        <f t="shared" si="0"/>
        <v>5</v>
      </c>
    </row>
    <row r="20" spans="1:16" ht="63" x14ac:dyDescent="0.25">
      <c r="A20" s="36" t="s">
        <v>218</v>
      </c>
      <c r="B20" s="194" t="s">
        <v>608</v>
      </c>
      <c r="C20" s="144" t="s">
        <v>208</v>
      </c>
      <c r="D20" s="144" t="s">
        <v>607</v>
      </c>
      <c r="E20" s="35">
        <v>5</v>
      </c>
      <c r="F20" s="35">
        <v>5</v>
      </c>
      <c r="G20" s="35">
        <v>5</v>
      </c>
      <c r="H20" s="35">
        <v>5</v>
      </c>
      <c r="I20" s="35">
        <v>5</v>
      </c>
      <c r="J20" s="35">
        <v>5</v>
      </c>
      <c r="K20" s="35">
        <v>5</v>
      </c>
      <c r="L20" s="35">
        <v>5</v>
      </c>
      <c r="M20" s="35">
        <v>5</v>
      </c>
      <c r="N20" s="128">
        <f t="shared" si="1"/>
        <v>5</v>
      </c>
      <c r="O20" s="128">
        <f t="shared" si="1"/>
        <v>5</v>
      </c>
      <c r="P20" s="128">
        <f t="shared" si="0"/>
        <v>5</v>
      </c>
    </row>
    <row r="21" spans="1:16" ht="63" x14ac:dyDescent="0.25">
      <c r="A21" s="36" t="s">
        <v>220</v>
      </c>
      <c r="B21" s="194" t="s">
        <v>221</v>
      </c>
      <c r="C21" s="144" t="s">
        <v>208</v>
      </c>
      <c r="D21" s="144" t="s">
        <v>209</v>
      </c>
      <c r="E21" s="35">
        <v>5</v>
      </c>
      <c r="F21" s="35">
        <v>5</v>
      </c>
      <c r="G21" s="35">
        <v>5</v>
      </c>
      <c r="H21" s="35">
        <v>5</v>
      </c>
      <c r="I21" s="35">
        <v>5</v>
      </c>
      <c r="J21" s="35">
        <v>5</v>
      </c>
      <c r="K21" s="35">
        <v>5</v>
      </c>
      <c r="L21" s="35">
        <v>5</v>
      </c>
      <c r="M21" s="35">
        <v>5</v>
      </c>
      <c r="N21" s="128">
        <f t="shared" si="1"/>
        <v>5</v>
      </c>
      <c r="O21" s="128">
        <f t="shared" si="1"/>
        <v>5</v>
      </c>
      <c r="P21" s="128">
        <f t="shared" si="0"/>
        <v>5</v>
      </c>
    </row>
    <row r="22" spans="1:16" ht="63" x14ac:dyDescent="0.25">
      <c r="A22" s="36" t="s">
        <v>609</v>
      </c>
      <c r="B22" s="532" t="s">
        <v>223</v>
      </c>
      <c r="C22" s="144" t="s">
        <v>208</v>
      </c>
      <c r="D22" s="144" t="s">
        <v>209</v>
      </c>
      <c r="E22" s="35">
        <v>5</v>
      </c>
      <c r="F22" s="35">
        <v>5</v>
      </c>
      <c r="G22" s="35">
        <v>5</v>
      </c>
      <c r="H22" s="35">
        <v>5</v>
      </c>
      <c r="I22" s="35">
        <v>5</v>
      </c>
      <c r="J22" s="35">
        <v>5</v>
      </c>
      <c r="K22" s="35">
        <v>5</v>
      </c>
      <c r="L22" s="35">
        <v>5</v>
      </c>
      <c r="M22" s="35">
        <v>5</v>
      </c>
      <c r="N22" s="128">
        <f t="shared" si="1"/>
        <v>5</v>
      </c>
      <c r="O22" s="128">
        <f t="shared" si="1"/>
        <v>5</v>
      </c>
      <c r="P22" s="128">
        <f t="shared" si="0"/>
        <v>5</v>
      </c>
    </row>
    <row r="23" spans="1:16" ht="63" x14ac:dyDescent="0.25">
      <c r="A23" s="36" t="s">
        <v>224</v>
      </c>
      <c r="B23" s="532" t="s">
        <v>225</v>
      </c>
      <c r="C23" s="144" t="s">
        <v>208</v>
      </c>
      <c r="D23" s="144" t="s">
        <v>209</v>
      </c>
      <c r="E23" s="35">
        <v>5</v>
      </c>
      <c r="F23" s="35">
        <v>5</v>
      </c>
      <c r="G23" s="35">
        <v>5</v>
      </c>
      <c r="H23" s="35">
        <v>5</v>
      </c>
      <c r="I23" s="35">
        <v>5</v>
      </c>
      <c r="J23" s="35">
        <v>5</v>
      </c>
      <c r="K23" s="35">
        <v>5</v>
      </c>
      <c r="L23" s="35">
        <v>5</v>
      </c>
      <c r="M23" s="35">
        <v>5</v>
      </c>
      <c r="N23" s="128">
        <f t="shared" si="1"/>
        <v>5</v>
      </c>
      <c r="O23" s="128">
        <f t="shared" si="1"/>
        <v>5</v>
      </c>
      <c r="P23" s="128">
        <f t="shared" si="0"/>
        <v>5</v>
      </c>
    </row>
    <row r="24" spans="1:16" ht="63" x14ac:dyDescent="0.25">
      <c r="A24" s="36" t="s">
        <v>226</v>
      </c>
      <c r="B24" s="532" t="s">
        <v>227</v>
      </c>
      <c r="C24" s="144" t="s">
        <v>208</v>
      </c>
      <c r="D24" s="144" t="s">
        <v>209</v>
      </c>
      <c r="E24" s="35">
        <v>5</v>
      </c>
      <c r="F24" s="35">
        <v>5</v>
      </c>
      <c r="G24" s="35">
        <v>5</v>
      </c>
      <c r="H24" s="35">
        <v>5</v>
      </c>
      <c r="I24" s="35">
        <v>5</v>
      </c>
      <c r="J24" s="35">
        <v>5</v>
      </c>
      <c r="K24" s="35">
        <v>5</v>
      </c>
      <c r="L24" s="35">
        <v>5</v>
      </c>
      <c r="M24" s="35">
        <v>5</v>
      </c>
      <c r="N24" s="128">
        <f t="shared" si="1"/>
        <v>5</v>
      </c>
      <c r="O24" s="128">
        <f t="shared" si="1"/>
        <v>5</v>
      </c>
      <c r="P24" s="128">
        <f t="shared" si="0"/>
        <v>5</v>
      </c>
    </row>
    <row r="25" spans="1:16" ht="63" x14ac:dyDescent="0.25">
      <c r="A25" s="36" t="s">
        <v>228</v>
      </c>
      <c r="B25" s="532" t="s">
        <v>229</v>
      </c>
      <c r="C25" s="144" t="s">
        <v>208</v>
      </c>
      <c r="D25" s="144" t="s">
        <v>209</v>
      </c>
      <c r="E25" s="35">
        <v>5</v>
      </c>
      <c r="F25" s="35">
        <v>5</v>
      </c>
      <c r="G25" s="35">
        <v>5</v>
      </c>
      <c r="H25" s="35">
        <v>5</v>
      </c>
      <c r="I25" s="35">
        <v>5</v>
      </c>
      <c r="J25" s="35">
        <v>5</v>
      </c>
      <c r="K25" s="35">
        <v>5</v>
      </c>
      <c r="L25" s="35">
        <v>5</v>
      </c>
      <c r="M25" s="35">
        <v>5</v>
      </c>
      <c r="N25" s="128">
        <f t="shared" si="1"/>
        <v>5</v>
      </c>
      <c r="O25" s="128">
        <f t="shared" si="1"/>
        <v>5</v>
      </c>
      <c r="P25" s="35">
        <f t="shared" si="0"/>
        <v>5</v>
      </c>
    </row>
    <row r="26" spans="1:16" ht="32.25" customHeight="1" x14ac:dyDescent="0.25">
      <c r="A26" s="282" t="s">
        <v>610</v>
      </c>
      <c r="B26" s="282"/>
      <c r="C26" s="282"/>
      <c r="D26" s="282"/>
      <c r="E26" s="282"/>
      <c r="F26" s="282"/>
      <c r="G26" s="282"/>
      <c r="H26" s="282"/>
      <c r="I26" s="282"/>
      <c r="J26" s="282"/>
      <c r="K26" s="282"/>
      <c r="L26" s="533"/>
      <c r="M26" s="534"/>
      <c r="N26" s="534"/>
      <c r="O26" s="534"/>
      <c r="P26" s="128"/>
    </row>
    <row r="27" spans="1:16" ht="47.25" x14ac:dyDescent="0.25">
      <c r="A27" s="535" t="s">
        <v>231</v>
      </c>
      <c r="B27" s="146" t="s">
        <v>611</v>
      </c>
      <c r="C27" s="144" t="s">
        <v>105</v>
      </c>
      <c r="D27" s="144" t="s">
        <v>110</v>
      </c>
      <c r="E27" s="12">
        <v>70</v>
      </c>
      <c r="F27" s="12">
        <v>71</v>
      </c>
      <c r="G27" s="144">
        <v>71</v>
      </c>
      <c r="H27" s="144">
        <v>71</v>
      </c>
      <c r="I27" s="144">
        <v>71</v>
      </c>
      <c r="J27" s="144">
        <v>71</v>
      </c>
      <c r="K27" s="144">
        <v>71</v>
      </c>
      <c r="L27" s="144">
        <v>71</v>
      </c>
      <c r="M27" s="144">
        <v>71</v>
      </c>
      <c r="N27" s="35">
        <f>M27</f>
        <v>71</v>
      </c>
      <c r="O27" s="35">
        <f>N27</f>
        <v>71</v>
      </c>
      <c r="P27" s="35">
        <f>N27</f>
        <v>71</v>
      </c>
    </row>
    <row r="28" spans="1:16" ht="94.5" x14ac:dyDescent="0.25">
      <c r="A28" s="144" t="s">
        <v>234</v>
      </c>
      <c r="B28" s="146" t="s">
        <v>235</v>
      </c>
      <c r="C28" s="144" t="s">
        <v>612</v>
      </c>
      <c r="D28" s="144" t="s">
        <v>110</v>
      </c>
      <c r="E28" s="144" t="s">
        <v>236</v>
      </c>
      <c r="F28" s="144" t="s">
        <v>237</v>
      </c>
      <c r="G28" s="144" t="s">
        <v>238</v>
      </c>
      <c r="H28" s="144" t="s">
        <v>239</v>
      </c>
      <c r="I28" s="144" t="s">
        <v>240</v>
      </c>
      <c r="J28" s="144" t="s">
        <v>241</v>
      </c>
      <c r="K28" s="144" t="s">
        <v>242</v>
      </c>
      <c r="L28" s="144" t="s">
        <v>242</v>
      </c>
      <c r="M28" s="144" t="s">
        <v>242</v>
      </c>
      <c r="N28" s="35" t="str">
        <f>M28</f>
        <v>89(57)</v>
      </c>
      <c r="O28" s="35" t="str">
        <f>N28</f>
        <v>89(57)</v>
      </c>
      <c r="P28" s="128" t="str">
        <f>N28</f>
        <v>89(57)</v>
      </c>
    </row>
    <row r="29" spans="1:16" ht="45" customHeight="1" x14ac:dyDescent="0.3">
      <c r="A29" s="57"/>
      <c r="B29" s="358" t="s">
        <v>33</v>
      </c>
      <c r="C29" s="358"/>
      <c r="D29" s="358"/>
      <c r="E29" s="358"/>
      <c r="F29" s="358"/>
      <c r="G29" s="536"/>
      <c r="H29" s="536"/>
      <c r="I29" s="341"/>
      <c r="J29" s="341"/>
      <c r="K29" s="536"/>
      <c r="L29" s="536"/>
      <c r="M29" s="536" t="s">
        <v>34</v>
      </c>
      <c r="N29" s="536"/>
      <c r="O29" s="537"/>
    </row>
    <row r="30" spans="1:16" ht="68.25" customHeight="1" x14ac:dyDescent="0.25">
      <c r="A30" s="57"/>
    </row>
    <row r="31" spans="1:16" ht="129.75" customHeight="1" x14ac:dyDescent="0.25">
      <c r="A31" s="57"/>
    </row>
    <row r="32" spans="1:16" ht="98.25" customHeight="1" x14ac:dyDescent="0.25">
      <c r="A32" s="57"/>
    </row>
    <row r="33" spans="1:1" ht="70.5" customHeight="1" x14ac:dyDescent="0.25">
      <c r="A33" s="57"/>
    </row>
    <row r="34" spans="1:1" ht="66.75" customHeight="1" x14ac:dyDescent="0.25">
      <c r="A34" s="57"/>
    </row>
    <row r="35" spans="1:1" ht="53.25" customHeight="1" x14ac:dyDescent="0.25">
      <c r="A35" s="57"/>
    </row>
    <row r="36" spans="1:1" x14ac:dyDescent="0.25">
      <c r="A36" s="57"/>
    </row>
    <row r="37" spans="1:1" x14ac:dyDescent="0.25">
      <c r="A37" s="57"/>
    </row>
  </sheetData>
  <mergeCells count="24">
    <mergeCell ref="O3:O5"/>
    <mergeCell ref="P3:P5"/>
    <mergeCell ref="A6:K6"/>
    <mergeCell ref="A7:K7"/>
    <mergeCell ref="A26:K26"/>
    <mergeCell ref="G29:H29"/>
    <mergeCell ref="K29:L29"/>
    <mergeCell ref="M29:N29"/>
    <mergeCell ref="I3:I5"/>
    <mergeCell ref="J3:J5"/>
    <mergeCell ref="K3:K5"/>
    <mergeCell ref="L3:L5"/>
    <mergeCell ref="M3:M5"/>
    <mergeCell ref="N3:N5"/>
    <mergeCell ref="E1:P1"/>
    <mergeCell ref="A2:K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11811023622047245" top="0.55118110236220474" bottom="0.35433070866141736" header="0.31496062992125984" footer="0.31496062992125984"/>
  <pageSetup paperSize="9" scale="59" fitToHeight="2" orientation="landscape" r:id="rId1"/>
  <headerFooter differentFirst="1">
    <oddHeader>&amp;C&amp;P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X104"/>
  <sheetViews>
    <sheetView view="pageBreakPreview" topLeftCell="A46" zoomScale="75" zoomScaleNormal="75" zoomScaleSheetLayoutView="75" workbookViewId="0">
      <selection activeCell="Q29" sqref="Q29"/>
    </sheetView>
  </sheetViews>
  <sheetFormatPr defaultColWidth="9.28515625" defaultRowHeight="15.75" x14ac:dyDescent="0.25"/>
  <cols>
    <col min="1" max="1" width="8.42578125" style="340" customWidth="1"/>
    <col min="2" max="2" width="28.7109375" style="57" customWidth="1"/>
    <col min="3" max="3" width="21.5703125" style="341" customWidth="1"/>
    <col min="4" max="4" width="8.28515625" style="341" customWidth="1"/>
    <col min="5" max="5" width="9.42578125" style="341" customWidth="1"/>
    <col min="6" max="6" width="17.28515625" style="341" customWidth="1"/>
    <col min="7" max="7" width="11.28515625" style="341" customWidth="1"/>
    <col min="8" max="8" width="14.7109375" style="341" customWidth="1"/>
    <col min="9" max="10" width="14.7109375" style="57" customWidth="1"/>
    <col min="11" max="11" width="14.7109375" style="166" customWidth="1"/>
    <col min="12" max="12" width="14.7109375" style="57" customWidth="1"/>
    <col min="13" max="13" width="21.7109375" style="57" customWidth="1"/>
    <col min="14" max="14" width="19.7109375" style="57" customWidth="1"/>
    <col min="15" max="15" width="22.28515625" style="57" customWidth="1"/>
    <col min="16" max="20" width="13.7109375" style="57" customWidth="1"/>
    <col min="21" max="21" width="43.42578125" style="57" customWidth="1"/>
    <col min="22" max="22" width="9.28515625" style="57"/>
    <col min="23" max="23" width="13.28515625" style="57" bestFit="1" customWidth="1"/>
    <col min="24" max="24" width="12.28515625" style="57" bestFit="1" customWidth="1"/>
    <col min="25" max="16384" width="9.28515625" style="57"/>
  </cols>
  <sheetData>
    <row r="1" spans="1:21" s="237" customFormat="1" ht="71.25" customHeight="1" x14ac:dyDescent="0.25">
      <c r="A1" s="275"/>
      <c r="B1" s="276"/>
      <c r="C1" s="277"/>
      <c r="D1" s="277"/>
      <c r="E1" s="277"/>
      <c r="F1" s="277"/>
      <c r="G1" s="277"/>
      <c r="H1" s="277"/>
      <c r="I1" s="278"/>
      <c r="J1" s="278"/>
      <c r="K1" s="538"/>
      <c r="O1" s="539"/>
      <c r="T1" s="279" t="s">
        <v>613</v>
      </c>
      <c r="U1" s="279"/>
    </row>
    <row r="2" spans="1:21" s="237" customFormat="1" ht="36" customHeight="1" x14ac:dyDescent="0.25">
      <c r="A2" s="281" t="s">
        <v>270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</row>
    <row r="3" spans="1:21" s="237" customFormat="1" ht="32.25" customHeight="1" x14ac:dyDescent="0.25">
      <c r="A3" s="53" t="s">
        <v>97</v>
      </c>
      <c r="B3" s="53" t="s">
        <v>271</v>
      </c>
      <c r="C3" s="53" t="s">
        <v>7</v>
      </c>
      <c r="D3" s="53" t="s">
        <v>5</v>
      </c>
      <c r="E3" s="53"/>
      <c r="F3" s="53"/>
      <c r="G3" s="53"/>
      <c r="H3" s="96" t="s">
        <v>6</v>
      </c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8"/>
      <c r="U3" s="53" t="s">
        <v>614</v>
      </c>
    </row>
    <row r="4" spans="1:21" s="237" customFormat="1" ht="37.5" customHeight="1" x14ac:dyDescent="0.25">
      <c r="A4" s="53"/>
      <c r="B4" s="53"/>
      <c r="C4" s="53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12">
        <v>2020</v>
      </c>
      <c r="O4" s="12">
        <v>2021</v>
      </c>
      <c r="P4" s="12">
        <v>2022</v>
      </c>
      <c r="Q4" s="12">
        <v>2023</v>
      </c>
      <c r="R4" s="12">
        <v>2024</v>
      </c>
      <c r="S4" s="12">
        <v>2025</v>
      </c>
      <c r="T4" s="12" t="s">
        <v>11</v>
      </c>
      <c r="U4" s="53"/>
    </row>
    <row r="5" spans="1:21" ht="27" customHeight="1" x14ac:dyDescent="0.25">
      <c r="A5" s="34" t="s">
        <v>603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</row>
    <row r="6" spans="1:21" ht="27" customHeight="1" x14ac:dyDescent="0.25">
      <c r="A6" s="540" t="s">
        <v>615</v>
      </c>
      <c r="B6" s="541"/>
      <c r="C6" s="541"/>
      <c r="D6" s="541"/>
      <c r="E6" s="541"/>
      <c r="F6" s="541"/>
      <c r="G6" s="541"/>
      <c r="H6" s="541"/>
      <c r="I6" s="541"/>
      <c r="J6" s="541"/>
      <c r="K6" s="541"/>
      <c r="L6" s="541"/>
      <c r="M6" s="541"/>
      <c r="N6" s="541"/>
      <c r="O6" s="541"/>
      <c r="P6" s="541"/>
      <c r="Q6" s="541"/>
      <c r="R6" s="541"/>
      <c r="S6" s="541"/>
      <c r="T6" s="541"/>
      <c r="U6" s="542"/>
    </row>
    <row r="7" spans="1:21" ht="45" customHeight="1" x14ac:dyDescent="0.25">
      <c r="A7" s="283" t="s">
        <v>189</v>
      </c>
      <c r="B7" s="42" t="s">
        <v>616</v>
      </c>
      <c r="C7" s="42" t="s">
        <v>276</v>
      </c>
      <c r="D7" s="285" t="s">
        <v>18</v>
      </c>
      <c r="E7" s="285" t="s">
        <v>489</v>
      </c>
      <c r="F7" s="285" t="s">
        <v>617</v>
      </c>
      <c r="G7" s="35">
        <v>120</v>
      </c>
      <c r="H7" s="543">
        <v>1257.5999999999999</v>
      </c>
      <c r="I7" s="543">
        <v>1420.8</v>
      </c>
      <c r="J7" s="543">
        <v>1452.9</v>
      </c>
      <c r="K7" s="543">
        <v>1366.4</v>
      </c>
      <c r="L7" s="543">
        <v>1552.5</v>
      </c>
      <c r="M7" s="543">
        <v>1792.7</v>
      </c>
      <c r="N7" s="543">
        <v>1967.9</v>
      </c>
      <c r="O7" s="543">
        <v>2231.1</v>
      </c>
      <c r="P7" s="543">
        <v>2735.3</v>
      </c>
      <c r="Q7" s="544">
        <v>2778</v>
      </c>
      <c r="R7" s="543">
        <v>2694</v>
      </c>
      <c r="S7" s="543">
        <f>R7</f>
        <v>2694</v>
      </c>
      <c r="T7" s="543">
        <f>SUM(H7:S7)</f>
        <v>23943.200000000001</v>
      </c>
      <c r="U7" s="42" t="s">
        <v>618</v>
      </c>
    </row>
    <row r="8" spans="1:21" ht="45" customHeight="1" x14ac:dyDescent="0.25">
      <c r="A8" s="289"/>
      <c r="B8" s="44"/>
      <c r="C8" s="44"/>
      <c r="D8" s="35">
        <v>975</v>
      </c>
      <c r="E8" s="285" t="s">
        <v>489</v>
      </c>
      <c r="F8" s="285" t="s">
        <v>617</v>
      </c>
      <c r="G8" s="35" t="s">
        <v>619</v>
      </c>
      <c r="H8" s="543">
        <v>318.60000000000002</v>
      </c>
      <c r="I8" s="543">
        <v>600.70000000000005</v>
      </c>
      <c r="J8" s="543">
        <v>513.5</v>
      </c>
      <c r="K8" s="543">
        <f>411.1+0.5</f>
        <v>411.6</v>
      </c>
      <c r="L8" s="543">
        <v>298.89999999999998</v>
      </c>
      <c r="M8" s="543">
        <v>317.5</v>
      </c>
      <c r="N8" s="543">
        <f>299.8+0.9+36.1</f>
        <v>336.8</v>
      </c>
      <c r="O8" s="543">
        <f>311.9+0.9</f>
        <v>312.79999999999995</v>
      </c>
      <c r="P8" s="543">
        <v>318.5</v>
      </c>
      <c r="Q8" s="545">
        <v>467.8</v>
      </c>
      <c r="R8" s="543">
        <v>337.5</v>
      </c>
      <c r="S8" s="543">
        <f t="shared" ref="R8:S51" si="0">R8</f>
        <v>337.5</v>
      </c>
      <c r="T8" s="543">
        <f t="shared" ref="T8:T52" si="1">SUM(H8:S8)</f>
        <v>4571.7000000000007</v>
      </c>
      <c r="U8" s="44"/>
    </row>
    <row r="9" spans="1:21" ht="24.95" customHeight="1" x14ac:dyDescent="0.25">
      <c r="A9" s="289"/>
      <c r="B9" s="44"/>
      <c r="C9" s="44"/>
      <c r="D9" s="492" t="s">
        <v>18</v>
      </c>
      <c r="E9" s="285" t="s">
        <v>489</v>
      </c>
      <c r="F9" s="285" t="s">
        <v>620</v>
      </c>
      <c r="G9" s="35">
        <v>120</v>
      </c>
      <c r="H9" s="543">
        <v>330.4</v>
      </c>
      <c r="I9" s="543">
        <v>342.6</v>
      </c>
      <c r="J9" s="543">
        <v>342.6</v>
      </c>
      <c r="K9" s="543">
        <v>335.6</v>
      </c>
      <c r="L9" s="543">
        <v>343.5</v>
      </c>
      <c r="M9" s="543">
        <v>360.3</v>
      </c>
      <c r="N9" s="543">
        <v>373.6</v>
      </c>
      <c r="O9" s="543">
        <v>431.7</v>
      </c>
      <c r="P9" s="543">
        <v>435.4</v>
      </c>
      <c r="Q9" s="544">
        <v>487.9</v>
      </c>
      <c r="R9" s="543">
        <v>471.3</v>
      </c>
      <c r="S9" s="543">
        <f t="shared" si="0"/>
        <v>471.3</v>
      </c>
      <c r="T9" s="543">
        <f t="shared" si="1"/>
        <v>4726.2</v>
      </c>
      <c r="U9" s="44"/>
    </row>
    <row r="10" spans="1:21" ht="24.95" customHeight="1" x14ac:dyDescent="0.25">
      <c r="A10" s="289"/>
      <c r="B10" s="44"/>
      <c r="C10" s="44"/>
      <c r="D10" s="492" t="s">
        <v>18</v>
      </c>
      <c r="E10" s="285" t="s">
        <v>489</v>
      </c>
      <c r="F10" s="285" t="s">
        <v>621</v>
      </c>
      <c r="G10" s="35">
        <v>120</v>
      </c>
      <c r="H10" s="543"/>
      <c r="I10" s="543"/>
      <c r="J10" s="543"/>
      <c r="K10" s="543"/>
      <c r="L10" s="543"/>
      <c r="M10" s="543"/>
      <c r="N10" s="543">
        <v>16.3</v>
      </c>
      <c r="O10" s="543"/>
      <c r="P10" s="543"/>
      <c r="Q10" s="543"/>
      <c r="R10" s="543">
        <f t="shared" si="0"/>
        <v>0</v>
      </c>
      <c r="S10" s="543">
        <f t="shared" si="0"/>
        <v>0</v>
      </c>
      <c r="T10" s="543">
        <f t="shared" si="1"/>
        <v>16.3</v>
      </c>
      <c r="U10" s="44"/>
    </row>
    <row r="11" spans="1:21" ht="24.95" customHeight="1" x14ac:dyDescent="0.25">
      <c r="A11" s="289"/>
      <c r="B11" s="44"/>
      <c r="C11" s="44"/>
      <c r="D11" s="492" t="s">
        <v>18</v>
      </c>
      <c r="E11" s="285" t="s">
        <v>489</v>
      </c>
      <c r="F11" s="285" t="s">
        <v>622</v>
      </c>
      <c r="G11" s="35">
        <v>120</v>
      </c>
      <c r="H11" s="543"/>
      <c r="I11" s="543"/>
      <c r="J11" s="543"/>
      <c r="K11" s="543"/>
      <c r="L11" s="543"/>
      <c r="M11" s="543"/>
      <c r="N11" s="543">
        <v>21.7</v>
      </c>
      <c r="O11" s="543"/>
      <c r="P11" s="543"/>
      <c r="Q11" s="543">
        <f t="shared" ref="Q11:Q51" si="2">P11</f>
        <v>0</v>
      </c>
      <c r="R11" s="543">
        <f t="shared" si="0"/>
        <v>0</v>
      </c>
      <c r="S11" s="543">
        <f t="shared" si="0"/>
        <v>0</v>
      </c>
      <c r="T11" s="543">
        <f t="shared" si="1"/>
        <v>21.7</v>
      </c>
      <c r="U11" s="44"/>
    </row>
    <row r="12" spans="1:21" ht="24.95" customHeight="1" x14ac:dyDescent="0.25">
      <c r="A12" s="289"/>
      <c r="B12" s="44"/>
      <c r="C12" s="44"/>
      <c r="D12" s="492" t="s">
        <v>18</v>
      </c>
      <c r="E12" s="285" t="s">
        <v>489</v>
      </c>
      <c r="F12" s="285" t="s">
        <v>623</v>
      </c>
      <c r="G12" s="35">
        <v>120</v>
      </c>
      <c r="H12" s="543"/>
      <c r="I12" s="543"/>
      <c r="J12" s="543"/>
      <c r="K12" s="543"/>
      <c r="L12" s="543"/>
      <c r="M12" s="543"/>
      <c r="N12" s="543">
        <v>3.1</v>
      </c>
      <c r="O12" s="543"/>
      <c r="P12" s="543"/>
      <c r="Q12" s="543"/>
      <c r="R12" s="543">
        <f t="shared" si="0"/>
        <v>0</v>
      </c>
      <c r="S12" s="543">
        <f t="shared" si="0"/>
        <v>0</v>
      </c>
      <c r="T12" s="543">
        <f t="shared" si="1"/>
        <v>3.1</v>
      </c>
      <c r="U12" s="44"/>
    </row>
    <row r="13" spans="1:21" ht="24.95" customHeight="1" x14ac:dyDescent="0.25">
      <c r="A13" s="289"/>
      <c r="B13" s="44"/>
      <c r="C13" s="44"/>
      <c r="D13" s="492" t="s">
        <v>18</v>
      </c>
      <c r="E13" s="285" t="s">
        <v>489</v>
      </c>
      <c r="F13" s="285" t="s">
        <v>624</v>
      </c>
      <c r="G13" s="35">
        <v>120</v>
      </c>
      <c r="H13" s="543"/>
      <c r="I13" s="543"/>
      <c r="J13" s="543"/>
      <c r="K13" s="543"/>
      <c r="L13" s="543"/>
      <c r="M13" s="543"/>
      <c r="N13" s="543">
        <v>228.4</v>
      </c>
      <c r="O13" s="543"/>
      <c r="P13" s="543"/>
      <c r="Q13" s="543">
        <f t="shared" si="2"/>
        <v>0</v>
      </c>
      <c r="R13" s="543">
        <f t="shared" si="0"/>
        <v>0</v>
      </c>
      <c r="S13" s="543">
        <f t="shared" si="0"/>
        <v>0</v>
      </c>
      <c r="T13" s="543">
        <f t="shared" si="1"/>
        <v>228.4</v>
      </c>
      <c r="U13" s="44"/>
    </row>
    <row r="14" spans="1:21" ht="24.95" customHeight="1" x14ac:dyDescent="0.25">
      <c r="A14" s="289"/>
      <c r="B14" s="44"/>
      <c r="C14" s="44"/>
      <c r="D14" s="492"/>
      <c r="E14" s="285" t="s">
        <v>489</v>
      </c>
      <c r="F14" s="285" t="s">
        <v>625</v>
      </c>
      <c r="G14" s="35">
        <v>831</v>
      </c>
      <c r="H14" s="543"/>
      <c r="I14" s="543"/>
      <c r="J14" s="543"/>
      <c r="K14" s="543"/>
      <c r="L14" s="543"/>
      <c r="M14" s="543"/>
      <c r="N14" s="543"/>
      <c r="O14" s="545">
        <v>160.9</v>
      </c>
      <c r="P14" s="543"/>
      <c r="Q14" s="543"/>
      <c r="R14" s="543"/>
      <c r="S14" s="543"/>
      <c r="T14" s="543">
        <f t="shared" si="1"/>
        <v>160.9</v>
      </c>
      <c r="U14" s="44"/>
    </row>
    <row r="15" spans="1:21" ht="24.95" customHeight="1" x14ac:dyDescent="0.25">
      <c r="A15" s="289"/>
      <c r="B15" s="44"/>
      <c r="C15" s="44"/>
      <c r="D15" s="492" t="s">
        <v>18</v>
      </c>
      <c r="E15" s="285" t="s">
        <v>489</v>
      </c>
      <c r="F15" s="285" t="s">
        <v>626</v>
      </c>
      <c r="G15" s="35">
        <v>120</v>
      </c>
      <c r="H15" s="543"/>
      <c r="I15" s="543"/>
      <c r="J15" s="543"/>
      <c r="K15" s="543"/>
      <c r="L15" s="543"/>
      <c r="M15" s="543">
        <v>36.4</v>
      </c>
      <c r="N15" s="543"/>
      <c r="O15" s="543"/>
      <c r="P15" s="543">
        <f t="shared" ref="P15:P20" si="3">O15</f>
        <v>0</v>
      </c>
      <c r="Q15" s="543">
        <f t="shared" si="2"/>
        <v>0</v>
      </c>
      <c r="R15" s="543">
        <f t="shared" si="0"/>
        <v>0</v>
      </c>
      <c r="S15" s="543">
        <f t="shared" si="0"/>
        <v>0</v>
      </c>
      <c r="T15" s="543">
        <f t="shared" si="1"/>
        <v>36.4</v>
      </c>
      <c r="U15" s="44"/>
    </row>
    <row r="16" spans="1:21" ht="24.95" customHeight="1" x14ac:dyDescent="0.25">
      <c r="A16" s="289"/>
      <c r="B16" s="44"/>
      <c r="C16" s="44"/>
      <c r="D16" s="492" t="s">
        <v>18</v>
      </c>
      <c r="E16" s="285" t="s">
        <v>489</v>
      </c>
      <c r="F16" s="285" t="s">
        <v>627</v>
      </c>
      <c r="G16" s="35">
        <v>120</v>
      </c>
      <c r="H16" s="543"/>
      <c r="I16" s="543"/>
      <c r="J16" s="543"/>
      <c r="K16" s="543"/>
      <c r="L16" s="543">
        <v>96.2</v>
      </c>
      <c r="M16" s="543"/>
      <c r="N16" s="543"/>
      <c r="O16" s="543"/>
      <c r="P16" s="543">
        <f t="shared" si="3"/>
        <v>0</v>
      </c>
      <c r="Q16" s="543">
        <f t="shared" si="2"/>
        <v>0</v>
      </c>
      <c r="R16" s="543">
        <f t="shared" si="0"/>
        <v>0</v>
      </c>
      <c r="S16" s="543">
        <f t="shared" si="0"/>
        <v>0</v>
      </c>
      <c r="T16" s="543">
        <f t="shared" si="1"/>
        <v>96.2</v>
      </c>
      <c r="U16" s="44"/>
    </row>
    <row r="17" spans="1:23" ht="41.45" customHeight="1" x14ac:dyDescent="0.25">
      <c r="A17" s="289"/>
      <c r="B17" s="44"/>
      <c r="C17" s="44"/>
      <c r="D17" s="35">
        <v>975</v>
      </c>
      <c r="E17" s="285" t="s">
        <v>489</v>
      </c>
      <c r="F17" s="285" t="s">
        <v>628</v>
      </c>
      <c r="G17" s="35">
        <v>120</v>
      </c>
      <c r="H17" s="543"/>
      <c r="I17" s="543"/>
      <c r="J17" s="543"/>
      <c r="K17" s="543"/>
      <c r="L17" s="543">
        <v>12.8</v>
      </c>
      <c r="M17" s="543">
        <v>3.8</v>
      </c>
      <c r="N17" s="543"/>
      <c r="O17" s="543"/>
      <c r="P17" s="543">
        <f t="shared" si="3"/>
        <v>0</v>
      </c>
      <c r="Q17" s="543">
        <f t="shared" si="2"/>
        <v>0</v>
      </c>
      <c r="R17" s="543">
        <f t="shared" si="0"/>
        <v>0</v>
      </c>
      <c r="S17" s="543">
        <f t="shared" si="0"/>
        <v>0</v>
      </c>
      <c r="T17" s="543">
        <f t="shared" si="1"/>
        <v>16.600000000000001</v>
      </c>
      <c r="U17" s="44"/>
    </row>
    <row r="18" spans="1:23" ht="46.9" customHeight="1" x14ac:dyDescent="0.25">
      <c r="A18" s="293"/>
      <c r="B18" s="81"/>
      <c r="C18" s="81"/>
      <c r="D18" s="35">
        <v>975</v>
      </c>
      <c r="E18" s="285" t="s">
        <v>489</v>
      </c>
      <c r="F18" s="285" t="s">
        <v>629</v>
      </c>
      <c r="G18" s="35">
        <v>120</v>
      </c>
      <c r="H18" s="543"/>
      <c r="I18" s="543"/>
      <c r="J18" s="543"/>
      <c r="K18" s="543"/>
      <c r="L18" s="543">
        <v>55.9</v>
      </c>
      <c r="M18" s="543">
        <v>18.100000000000001</v>
      </c>
      <c r="N18" s="543"/>
      <c r="O18" s="543"/>
      <c r="P18" s="543">
        <f t="shared" si="3"/>
        <v>0</v>
      </c>
      <c r="Q18" s="543">
        <f t="shared" si="2"/>
        <v>0</v>
      </c>
      <c r="R18" s="543">
        <f t="shared" si="0"/>
        <v>0</v>
      </c>
      <c r="S18" s="543">
        <f t="shared" si="0"/>
        <v>0</v>
      </c>
      <c r="T18" s="543">
        <f t="shared" si="1"/>
        <v>74</v>
      </c>
      <c r="U18" s="81"/>
    </row>
    <row r="19" spans="1:23" ht="50.45" customHeight="1" x14ac:dyDescent="0.25">
      <c r="A19" s="309" t="s">
        <v>630</v>
      </c>
      <c r="B19" s="490" t="s">
        <v>631</v>
      </c>
      <c r="C19" s="31" t="s">
        <v>632</v>
      </c>
      <c r="D19" s="285" t="s">
        <v>18</v>
      </c>
      <c r="E19" s="285" t="s">
        <v>489</v>
      </c>
      <c r="F19" s="285" t="s">
        <v>633</v>
      </c>
      <c r="G19" s="35">
        <v>110</v>
      </c>
      <c r="H19" s="543">
        <v>623.6</v>
      </c>
      <c r="I19" s="543">
        <v>623.6</v>
      </c>
      <c r="J19" s="543">
        <v>623.6</v>
      </c>
      <c r="K19" s="543">
        <v>610</v>
      </c>
      <c r="L19" s="543">
        <f>623.6</f>
        <v>623.6</v>
      </c>
      <c r="M19" s="543">
        <v>623.6</v>
      </c>
      <c r="N19" s="543">
        <v>623.6</v>
      </c>
      <c r="O19" s="545">
        <v>623.6</v>
      </c>
      <c r="P19" s="543">
        <v>623.6</v>
      </c>
      <c r="Q19" s="543">
        <v>623.6</v>
      </c>
      <c r="R19" s="543">
        <f t="shared" si="0"/>
        <v>623.6</v>
      </c>
      <c r="S19" s="543">
        <f t="shared" si="0"/>
        <v>623.6</v>
      </c>
      <c r="T19" s="543">
        <f t="shared" si="1"/>
        <v>7469.6000000000022</v>
      </c>
      <c r="U19" s="318" t="s">
        <v>634</v>
      </c>
      <c r="W19" s="546">
        <f>P19+P21+P28+P29+P30+P37+P39+P42+P48</f>
        <v>52696.19999999999</v>
      </c>
    </row>
    <row r="20" spans="1:23" ht="24.95" customHeight="1" x14ac:dyDescent="0.25">
      <c r="A20" s="319" t="s">
        <v>635</v>
      </c>
      <c r="B20" s="53" t="s">
        <v>636</v>
      </c>
      <c r="C20" s="53" t="s">
        <v>637</v>
      </c>
      <c r="D20" s="285" t="s">
        <v>22</v>
      </c>
      <c r="E20" s="285" t="s">
        <v>489</v>
      </c>
      <c r="F20" s="285" t="s">
        <v>638</v>
      </c>
      <c r="G20" s="35">
        <v>110</v>
      </c>
      <c r="H20" s="547"/>
      <c r="I20" s="547"/>
      <c r="J20" s="547"/>
      <c r="K20" s="547"/>
      <c r="L20" s="547">
        <v>564.29999999999995</v>
      </c>
      <c r="M20" s="547"/>
      <c r="N20" s="547"/>
      <c r="O20" s="547"/>
      <c r="P20" s="543">
        <f t="shared" si="3"/>
        <v>0</v>
      </c>
      <c r="Q20" s="543">
        <f t="shared" si="2"/>
        <v>0</v>
      </c>
      <c r="R20" s="543">
        <f t="shared" si="0"/>
        <v>0</v>
      </c>
      <c r="S20" s="543">
        <f t="shared" si="0"/>
        <v>0</v>
      </c>
      <c r="T20" s="543">
        <f t="shared" si="1"/>
        <v>564.29999999999995</v>
      </c>
      <c r="U20" s="34" t="s">
        <v>639</v>
      </c>
    </row>
    <row r="21" spans="1:23" ht="24.95" customHeight="1" x14ac:dyDescent="0.25">
      <c r="A21" s="319"/>
      <c r="B21" s="53"/>
      <c r="C21" s="53"/>
      <c r="D21" s="285" t="s">
        <v>22</v>
      </c>
      <c r="E21" s="285" t="s">
        <v>489</v>
      </c>
      <c r="F21" s="285" t="s">
        <v>633</v>
      </c>
      <c r="G21" s="35">
        <v>110</v>
      </c>
      <c r="H21" s="547">
        <v>13131.6</v>
      </c>
      <c r="I21" s="547">
        <v>13815.5</v>
      </c>
      <c r="J21" s="547">
        <v>14161.8</v>
      </c>
      <c r="K21" s="547">
        <v>14410.6</v>
      </c>
      <c r="L21" s="547">
        <f>11061.4+19+3328.3</f>
        <v>14408.7</v>
      </c>
      <c r="M21" s="547">
        <v>15224.3</v>
      </c>
      <c r="N21" s="547">
        <v>15816.8</v>
      </c>
      <c r="O21" s="547">
        <v>19123.3</v>
      </c>
      <c r="P21" s="543">
        <v>23638.7</v>
      </c>
      <c r="Q21" s="544">
        <v>25035.8</v>
      </c>
      <c r="R21" s="543">
        <v>24277.1</v>
      </c>
      <c r="S21" s="543">
        <f t="shared" si="0"/>
        <v>24277.1</v>
      </c>
      <c r="T21" s="543">
        <f t="shared" si="1"/>
        <v>217321.30000000002</v>
      </c>
      <c r="U21" s="34"/>
    </row>
    <row r="22" spans="1:23" ht="24.95" customHeight="1" x14ac:dyDescent="0.25">
      <c r="A22" s="319"/>
      <c r="B22" s="53"/>
      <c r="C22" s="53"/>
      <c r="D22" s="285" t="s">
        <v>22</v>
      </c>
      <c r="E22" s="285" t="s">
        <v>489</v>
      </c>
      <c r="F22" s="285" t="s">
        <v>640</v>
      </c>
      <c r="G22" s="35">
        <v>110</v>
      </c>
      <c r="H22" s="547"/>
      <c r="I22" s="547">
        <v>9.6999999999999993</v>
      </c>
      <c r="J22" s="547">
        <v>10.9</v>
      </c>
      <c r="K22" s="547">
        <v>12.4</v>
      </c>
      <c r="L22" s="547">
        <v>52.5</v>
      </c>
      <c r="M22" s="547">
        <v>130.5</v>
      </c>
      <c r="N22" s="547">
        <v>159.9</v>
      </c>
      <c r="O22" s="547"/>
      <c r="P22" s="547"/>
      <c r="Q22" s="543">
        <f t="shared" si="2"/>
        <v>0</v>
      </c>
      <c r="R22" s="543">
        <f t="shared" si="0"/>
        <v>0</v>
      </c>
      <c r="S22" s="543">
        <f t="shared" si="0"/>
        <v>0</v>
      </c>
      <c r="T22" s="543">
        <f t="shared" si="1"/>
        <v>375.9</v>
      </c>
      <c r="U22" s="34"/>
    </row>
    <row r="23" spans="1:23" ht="39.6" customHeight="1" x14ac:dyDescent="0.25">
      <c r="A23" s="319"/>
      <c r="B23" s="53"/>
      <c r="C23" s="53"/>
      <c r="D23" s="285" t="s">
        <v>22</v>
      </c>
      <c r="E23" s="285" t="s">
        <v>489</v>
      </c>
      <c r="F23" s="285" t="s">
        <v>641</v>
      </c>
      <c r="G23" s="35">
        <v>110</v>
      </c>
      <c r="H23" s="547"/>
      <c r="I23" s="547"/>
      <c r="J23" s="547"/>
      <c r="K23" s="547"/>
      <c r="L23" s="547"/>
      <c r="M23" s="547">
        <v>8.9</v>
      </c>
      <c r="N23" s="547">
        <v>97.3</v>
      </c>
      <c r="O23" s="547">
        <v>0</v>
      </c>
      <c r="P23" s="543">
        <v>81</v>
      </c>
      <c r="Q23" s="543">
        <v>0</v>
      </c>
      <c r="R23" s="543">
        <f t="shared" si="0"/>
        <v>0</v>
      </c>
      <c r="S23" s="543">
        <f t="shared" si="0"/>
        <v>0</v>
      </c>
      <c r="T23" s="543">
        <f t="shared" si="1"/>
        <v>187.2</v>
      </c>
      <c r="U23" s="34"/>
    </row>
    <row r="24" spans="1:23" ht="39.6" customHeight="1" x14ac:dyDescent="0.25">
      <c r="A24" s="319"/>
      <c r="B24" s="53"/>
      <c r="C24" s="53"/>
      <c r="D24" s="285" t="s">
        <v>22</v>
      </c>
      <c r="E24" s="285" t="s">
        <v>489</v>
      </c>
      <c r="F24" s="285" t="s">
        <v>621</v>
      </c>
      <c r="G24" s="35">
        <v>110</v>
      </c>
      <c r="H24" s="547"/>
      <c r="I24" s="547"/>
      <c r="J24" s="547"/>
      <c r="K24" s="547"/>
      <c r="L24" s="547"/>
      <c r="M24" s="547"/>
      <c r="N24" s="547">
        <v>130.19999999999999</v>
      </c>
      <c r="O24" s="547"/>
      <c r="P24" s="543"/>
      <c r="Q24" s="543"/>
      <c r="R24" s="543">
        <f t="shared" si="0"/>
        <v>0</v>
      </c>
      <c r="S24" s="543">
        <f t="shared" si="0"/>
        <v>0</v>
      </c>
      <c r="T24" s="543">
        <f t="shared" si="1"/>
        <v>130.19999999999999</v>
      </c>
      <c r="U24" s="34"/>
    </row>
    <row r="25" spans="1:23" ht="39.6" customHeight="1" x14ac:dyDescent="0.25">
      <c r="A25" s="319"/>
      <c r="B25" s="53"/>
      <c r="C25" s="53"/>
      <c r="D25" s="285" t="s">
        <v>22</v>
      </c>
      <c r="E25" s="285" t="s">
        <v>489</v>
      </c>
      <c r="F25" s="285" t="s">
        <v>642</v>
      </c>
      <c r="G25" s="35">
        <v>110</v>
      </c>
      <c r="H25" s="547"/>
      <c r="I25" s="547"/>
      <c r="J25" s="547"/>
      <c r="K25" s="547"/>
      <c r="L25" s="547"/>
      <c r="M25" s="547"/>
      <c r="N25" s="547">
        <v>874.3</v>
      </c>
      <c r="O25" s="547"/>
      <c r="P25" s="543"/>
      <c r="Q25" s="543">
        <f t="shared" si="2"/>
        <v>0</v>
      </c>
      <c r="R25" s="543">
        <f t="shared" si="0"/>
        <v>0</v>
      </c>
      <c r="S25" s="543">
        <f t="shared" si="0"/>
        <v>0</v>
      </c>
      <c r="T25" s="543">
        <f t="shared" si="1"/>
        <v>874.3</v>
      </c>
      <c r="U25" s="34"/>
    </row>
    <row r="26" spans="1:23" ht="24.95" customHeight="1" x14ac:dyDescent="0.25">
      <c r="A26" s="319"/>
      <c r="B26" s="53"/>
      <c r="C26" s="53"/>
      <c r="D26" s="285" t="s">
        <v>22</v>
      </c>
      <c r="E26" s="285" t="s">
        <v>489</v>
      </c>
      <c r="F26" s="285" t="s">
        <v>643</v>
      </c>
      <c r="G26" s="35">
        <v>110</v>
      </c>
      <c r="H26" s="547"/>
      <c r="I26" s="547"/>
      <c r="J26" s="547"/>
      <c r="K26" s="547"/>
      <c r="L26" s="547"/>
      <c r="M26" s="547">
        <v>137.6</v>
      </c>
      <c r="N26" s="547"/>
      <c r="O26" s="547"/>
      <c r="P26" s="543"/>
      <c r="Q26" s="543">
        <f t="shared" si="2"/>
        <v>0</v>
      </c>
      <c r="R26" s="543">
        <f t="shared" si="0"/>
        <v>0</v>
      </c>
      <c r="S26" s="543">
        <f t="shared" si="0"/>
        <v>0</v>
      </c>
      <c r="T26" s="543">
        <f t="shared" si="1"/>
        <v>137.6</v>
      </c>
      <c r="U26" s="34"/>
    </row>
    <row r="27" spans="1:23" ht="24.95" customHeight="1" x14ac:dyDescent="0.25">
      <c r="A27" s="319"/>
      <c r="B27" s="53"/>
      <c r="C27" s="53"/>
      <c r="D27" s="285" t="s">
        <v>22</v>
      </c>
      <c r="E27" s="285" t="s">
        <v>489</v>
      </c>
      <c r="F27" s="285" t="s">
        <v>633</v>
      </c>
      <c r="G27" s="35">
        <v>850</v>
      </c>
      <c r="H27" s="547">
        <v>0</v>
      </c>
      <c r="I27" s="547">
        <v>0</v>
      </c>
      <c r="J27" s="547">
        <v>0</v>
      </c>
      <c r="K27" s="547">
        <v>21.8</v>
      </c>
      <c r="L27" s="547">
        <v>0.01</v>
      </c>
      <c r="M27" s="547"/>
      <c r="N27" s="547"/>
      <c r="O27" s="547">
        <v>0.8</v>
      </c>
      <c r="P27" s="543"/>
      <c r="Q27" s="543"/>
      <c r="R27" s="543">
        <f t="shared" si="0"/>
        <v>0</v>
      </c>
      <c r="S27" s="543">
        <f t="shared" si="0"/>
        <v>0</v>
      </c>
      <c r="T27" s="543">
        <f t="shared" si="1"/>
        <v>22.610000000000003</v>
      </c>
      <c r="U27" s="34"/>
    </row>
    <row r="28" spans="1:23" ht="24.95" customHeight="1" x14ac:dyDescent="0.25">
      <c r="A28" s="319"/>
      <c r="B28" s="53"/>
      <c r="C28" s="53"/>
      <c r="D28" s="285" t="s">
        <v>22</v>
      </c>
      <c r="E28" s="285" t="s">
        <v>489</v>
      </c>
      <c r="F28" s="285" t="s">
        <v>633</v>
      </c>
      <c r="G28" s="35">
        <v>240</v>
      </c>
      <c r="H28" s="547">
        <v>1021.5</v>
      </c>
      <c r="I28" s="547">
        <v>1111.2</v>
      </c>
      <c r="J28" s="547">
        <v>1144</v>
      </c>
      <c r="K28" s="547">
        <v>927.7</v>
      </c>
      <c r="L28" s="547">
        <v>969.6</v>
      </c>
      <c r="M28" s="547">
        <v>1242.5</v>
      </c>
      <c r="N28" s="547">
        <v>1442.2</v>
      </c>
      <c r="O28" s="547">
        <v>2917.2</v>
      </c>
      <c r="P28" s="547">
        <f>3210.2+7.4</f>
        <v>3217.6</v>
      </c>
      <c r="Q28" s="543">
        <v>2313.1999999999998</v>
      </c>
      <c r="R28" s="543">
        <v>2313.1999999999998</v>
      </c>
      <c r="S28" s="543">
        <f t="shared" si="0"/>
        <v>2313.1999999999998</v>
      </c>
      <c r="T28" s="543">
        <f t="shared" si="1"/>
        <v>20933.100000000002</v>
      </c>
      <c r="U28" s="34"/>
    </row>
    <row r="29" spans="1:23" ht="24.95" customHeight="1" x14ac:dyDescent="0.25">
      <c r="A29" s="319" t="s">
        <v>644</v>
      </c>
      <c r="B29" s="34" t="s">
        <v>645</v>
      </c>
      <c r="C29" s="34" t="s">
        <v>646</v>
      </c>
      <c r="D29" s="285" t="s">
        <v>18</v>
      </c>
      <c r="E29" s="285" t="s">
        <v>489</v>
      </c>
      <c r="F29" s="285" t="s">
        <v>633</v>
      </c>
      <c r="G29" s="35">
        <v>110</v>
      </c>
      <c r="H29" s="547">
        <f>2965-H19</f>
        <v>2341.4</v>
      </c>
      <c r="I29" s="547">
        <f>3154-I19</f>
        <v>2530.4</v>
      </c>
      <c r="J29" s="547">
        <f>3155.8-J19</f>
        <v>2532.2000000000003</v>
      </c>
      <c r="K29" s="547">
        <f>4414.9-K19</f>
        <v>3804.8999999999996</v>
      </c>
      <c r="L29" s="547">
        <f>4501.5-L19</f>
        <v>3877.9</v>
      </c>
      <c r="M29" s="547">
        <f>4633.1-M19</f>
        <v>4009.5000000000005</v>
      </c>
      <c r="N29" s="547">
        <f>5167.1-N19</f>
        <v>4543.5</v>
      </c>
      <c r="O29" s="547">
        <f>5798.8-O19</f>
        <v>5175.2</v>
      </c>
      <c r="P29" s="547">
        <f>6635-P19</f>
        <v>6011.4</v>
      </c>
      <c r="Q29" s="544">
        <f>6922.8-Q19</f>
        <v>6299.2</v>
      </c>
      <c r="R29" s="543">
        <v>6070.2</v>
      </c>
      <c r="S29" s="543">
        <v>6070.2</v>
      </c>
      <c r="T29" s="543">
        <f t="shared" si="1"/>
        <v>53265.999999999993</v>
      </c>
      <c r="U29" s="34" t="s">
        <v>647</v>
      </c>
    </row>
    <row r="30" spans="1:23" ht="24.95" customHeight="1" x14ac:dyDescent="0.25">
      <c r="A30" s="319"/>
      <c r="B30" s="34"/>
      <c r="C30" s="34"/>
      <c r="D30" s="285" t="s">
        <v>18</v>
      </c>
      <c r="E30" s="285" t="s">
        <v>489</v>
      </c>
      <c r="F30" s="285" t="s">
        <v>633</v>
      </c>
      <c r="G30" s="35">
        <v>240</v>
      </c>
      <c r="H30" s="547">
        <v>452.8</v>
      </c>
      <c r="I30" s="547">
        <v>540.79999999999995</v>
      </c>
      <c r="J30" s="547">
        <v>696.6</v>
      </c>
      <c r="K30" s="547">
        <v>1035.5</v>
      </c>
      <c r="L30" s="547">
        <v>708.9</v>
      </c>
      <c r="M30" s="547">
        <f>374+50</f>
        <v>424</v>
      </c>
      <c r="N30" s="547">
        <v>333.1</v>
      </c>
      <c r="O30" s="547">
        <f>455.5+39.24+114.8+68.1</f>
        <v>677.64</v>
      </c>
      <c r="P30" s="547">
        <f>794.9+85.7</f>
        <v>880.6</v>
      </c>
      <c r="Q30" s="545">
        <v>954.2</v>
      </c>
      <c r="R30" s="543">
        <v>1066.2</v>
      </c>
      <c r="S30" s="543">
        <f t="shared" si="0"/>
        <v>1066.2</v>
      </c>
      <c r="T30" s="543">
        <f t="shared" si="1"/>
        <v>8836.5400000000009</v>
      </c>
      <c r="U30" s="34"/>
    </row>
    <row r="31" spans="1:23" ht="24.95" customHeight="1" x14ac:dyDescent="0.25">
      <c r="A31" s="319"/>
      <c r="B31" s="34"/>
      <c r="C31" s="34"/>
      <c r="D31" s="285" t="s">
        <v>18</v>
      </c>
      <c r="E31" s="285" t="s">
        <v>489</v>
      </c>
      <c r="F31" s="285" t="s">
        <v>640</v>
      </c>
      <c r="G31" s="35">
        <v>110</v>
      </c>
      <c r="H31" s="547">
        <v>17.100000000000001</v>
      </c>
      <c r="I31" s="547">
        <v>29.8</v>
      </c>
      <c r="J31" s="547">
        <v>46.6</v>
      </c>
      <c r="K31" s="547">
        <v>58.6</v>
      </c>
      <c r="L31" s="547">
        <v>84.9</v>
      </c>
      <c r="M31" s="547">
        <v>136</v>
      </c>
      <c r="N31" s="547">
        <v>115.1</v>
      </c>
      <c r="O31" s="547"/>
      <c r="P31" s="547"/>
      <c r="Q31" s="543"/>
      <c r="R31" s="543">
        <f t="shared" si="0"/>
        <v>0</v>
      </c>
      <c r="S31" s="543">
        <f t="shared" si="0"/>
        <v>0</v>
      </c>
      <c r="T31" s="543">
        <f t="shared" si="1"/>
        <v>488.1</v>
      </c>
      <c r="U31" s="34"/>
    </row>
    <row r="32" spans="1:23" ht="24.95" customHeight="1" x14ac:dyDescent="0.25">
      <c r="A32" s="319"/>
      <c r="B32" s="34"/>
      <c r="C32" s="34"/>
      <c r="D32" s="285" t="s">
        <v>18</v>
      </c>
      <c r="E32" s="285" t="s">
        <v>489</v>
      </c>
      <c r="F32" s="285" t="s">
        <v>642</v>
      </c>
      <c r="G32" s="35">
        <v>110</v>
      </c>
      <c r="H32" s="547"/>
      <c r="I32" s="547"/>
      <c r="J32" s="547"/>
      <c r="K32" s="547"/>
      <c r="L32" s="547"/>
      <c r="M32" s="547"/>
      <c r="N32" s="547">
        <v>295.8</v>
      </c>
      <c r="O32" s="547"/>
      <c r="P32" s="543"/>
      <c r="Q32" s="543">
        <f t="shared" si="2"/>
        <v>0</v>
      </c>
      <c r="R32" s="543">
        <f t="shared" si="0"/>
        <v>0</v>
      </c>
      <c r="S32" s="543">
        <f t="shared" si="0"/>
        <v>0</v>
      </c>
      <c r="T32" s="543">
        <f t="shared" si="1"/>
        <v>295.8</v>
      </c>
      <c r="U32" s="34"/>
    </row>
    <row r="33" spans="1:24" ht="24.95" customHeight="1" x14ac:dyDescent="0.25">
      <c r="A33" s="319"/>
      <c r="B33" s="34"/>
      <c r="C33" s="34"/>
      <c r="D33" s="285" t="s">
        <v>18</v>
      </c>
      <c r="E33" s="285" t="s">
        <v>489</v>
      </c>
      <c r="F33" s="285" t="s">
        <v>621</v>
      </c>
      <c r="G33" s="35">
        <v>110</v>
      </c>
      <c r="H33" s="547"/>
      <c r="I33" s="547"/>
      <c r="J33" s="547"/>
      <c r="K33" s="547"/>
      <c r="L33" s="547"/>
      <c r="M33" s="547"/>
      <c r="N33" s="547">
        <v>42.6</v>
      </c>
      <c r="O33" s="547"/>
      <c r="P33" s="543"/>
      <c r="Q33" s="543"/>
      <c r="R33" s="543">
        <f t="shared" si="0"/>
        <v>0</v>
      </c>
      <c r="S33" s="543">
        <f t="shared" si="0"/>
        <v>0</v>
      </c>
      <c r="T33" s="543">
        <f t="shared" si="1"/>
        <v>42.6</v>
      </c>
      <c r="U33" s="34"/>
      <c r="X33" s="59">
        <f>O29+O30+O37+O19</f>
        <v>6756.4400000000005</v>
      </c>
    </row>
    <row r="34" spans="1:24" ht="24.95" customHeight="1" x14ac:dyDescent="0.25">
      <c r="A34" s="319"/>
      <c r="B34" s="34"/>
      <c r="C34" s="34"/>
      <c r="D34" s="285" t="s">
        <v>18</v>
      </c>
      <c r="E34" s="285" t="s">
        <v>489</v>
      </c>
      <c r="F34" s="285" t="s">
        <v>648</v>
      </c>
      <c r="G34" s="35">
        <v>110</v>
      </c>
      <c r="H34" s="547">
        <v>41.5</v>
      </c>
      <c r="I34" s="547">
        <v>4.4000000000000004</v>
      </c>
      <c r="J34" s="547"/>
      <c r="K34" s="547"/>
      <c r="L34" s="547"/>
      <c r="M34" s="547"/>
      <c r="N34" s="547"/>
      <c r="O34" s="547"/>
      <c r="P34" s="543">
        <f>O34</f>
        <v>0</v>
      </c>
      <c r="Q34" s="543">
        <f t="shared" si="2"/>
        <v>0</v>
      </c>
      <c r="R34" s="543">
        <f t="shared" si="0"/>
        <v>0</v>
      </c>
      <c r="S34" s="543">
        <f t="shared" si="0"/>
        <v>0</v>
      </c>
      <c r="T34" s="543">
        <f t="shared" si="1"/>
        <v>45.9</v>
      </c>
      <c r="U34" s="34"/>
    </row>
    <row r="35" spans="1:24" ht="24.95" customHeight="1" x14ac:dyDescent="0.25">
      <c r="A35" s="319"/>
      <c r="B35" s="34"/>
      <c r="C35" s="34"/>
      <c r="D35" s="285" t="s">
        <v>18</v>
      </c>
      <c r="E35" s="285" t="s">
        <v>489</v>
      </c>
      <c r="F35" s="285" t="s">
        <v>643</v>
      </c>
      <c r="G35" s="35">
        <v>110</v>
      </c>
      <c r="H35" s="547">
        <v>0.6</v>
      </c>
      <c r="I35" s="547"/>
      <c r="J35" s="547"/>
      <c r="K35" s="547"/>
      <c r="L35" s="547"/>
      <c r="M35" s="547">
        <v>52.2</v>
      </c>
      <c r="N35" s="547"/>
      <c r="O35" s="547"/>
      <c r="P35" s="543">
        <f>O35</f>
        <v>0</v>
      </c>
      <c r="Q35" s="543">
        <f t="shared" si="2"/>
        <v>0</v>
      </c>
      <c r="R35" s="543">
        <f t="shared" si="0"/>
        <v>0</v>
      </c>
      <c r="S35" s="543">
        <f t="shared" si="0"/>
        <v>0</v>
      </c>
      <c r="T35" s="543">
        <f t="shared" si="1"/>
        <v>52.800000000000004</v>
      </c>
      <c r="U35" s="34"/>
    </row>
    <row r="36" spans="1:24" ht="37.9" customHeight="1" x14ac:dyDescent="0.25">
      <c r="A36" s="319"/>
      <c r="B36" s="34"/>
      <c r="C36" s="34"/>
      <c r="D36" s="285" t="s">
        <v>18</v>
      </c>
      <c r="E36" s="285" t="s">
        <v>489</v>
      </c>
      <c r="F36" s="285" t="s">
        <v>641</v>
      </c>
      <c r="G36" s="35">
        <v>110</v>
      </c>
      <c r="H36" s="547"/>
      <c r="I36" s="547"/>
      <c r="J36" s="547"/>
      <c r="K36" s="547"/>
      <c r="L36" s="547"/>
      <c r="M36" s="547">
        <v>1.3</v>
      </c>
      <c r="N36" s="547">
        <v>12.5</v>
      </c>
      <c r="O36" s="547">
        <v>0</v>
      </c>
      <c r="P36" s="543">
        <v>40.5</v>
      </c>
      <c r="Q36" s="543">
        <v>0</v>
      </c>
      <c r="R36" s="543">
        <f t="shared" si="0"/>
        <v>0</v>
      </c>
      <c r="S36" s="543">
        <f t="shared" si="0"/>
        <v>0</v>
      </c>
      <c r="T36" s="543">
        <f t="shared" si="1"/>
        <v>54.3</v>
      </c>
      <c r="U36" s="34"/>
    </row>
    <row r="37" spans="1:24" ht="24.6" customHeight="1" x14ac:dyDescent="0.25">
      <c r="A37" s="319"/>
      <c r="B37" s="34"/>
      <c r="C37" s="34"/>
      <c r="D37" s="285" t="s">
        <v>18</v>
      </c>
      <c r="E37" s="285" t="s">
        <v>489</v>
      </c>
      <c r="F37" s="285" t="s">
        <v>633</v>
      </c>
      <c r="G37" s="35">
        <v>350</v>
      </c>
      <c r="H37" s="547"/>
      <c r="I37" s="547"/>
      <c r="J37" s="547">
        <v>178.1</v>
      </c>
      <c r="K37" s="547">
        <v>228.1</v>
      </c>
      <c r="L37" s="547">
        <v>209.8</v>
      </c>
      <c r="M37" s="547">
        <v>280</v>
      </c>
      <c r="N37" s="547">
        <v>260</v>
      </c>
      <c r="O37" s="547">
        <v>280</v>
      </c>
      <c r="P37" s="547">
        <v>280</v>
      </c>
      <c r="Q37" s="543">
        <v>280</v>
      </c>
      <c r="R37" s="543">
        <f t="shared" si="0"/>
        <v>280</v>
      </c>
      <c r="S37" s="543">
        <f t="shared" si="0"/>
        <v>280</v>
      </c>
      <c r="T37" s="543">
        <f t="shared" si="1"/>
        <v>2556</v>
      </c>
      <c r="U37" s="34"/>
    </row>
    <row r="38" spans="1:24" ht="24.95" customHeight="1" x14ac:dyDescent="0.25">
      <c r="A38" s="319"/>
      <c r="B38" s="34"/>
      <c r="C38" s="34"/>
      <c r="D38" s="285" t="s">
        <v>18</v>
      </c>
      <c r="E38" s="285" t="s">
        <v>489</v>
      </c>
      <c r="F38" s="285" t="s">
        <v>633</v>
      </c>
      <c r="G38" s="35">
        <v>360</v>
      </c>
      <c r="H38" s="547"/>
      <c r="I38" s="547"/>
      <c r="J38" s="547">
        <v>102</v>
      </c>
      <c r="K38" s="547">
        <v>70</v>
      </c>
      <c r="L38" s="547">
        <v>100</v>
      </c>
      <c r="M38" s="547"/>
      <c r="N38" s="547"/>
      <c r="O38" s="547"/>
      <c r="P38" s="543">
        <f>O38</f>
        <v>0</v>
      </c>
      <c r="Q38" s="543">
        <f t="shared" si="2"/>
        <v>0</v>
      </c>
      <c r="R38" s="543">
        <f t="shared" si="0"/>
        <v>0</v>
      </c>
      <c r="S38" s="543">
        <f t="shared" si="0"/>
        <v>0</v>
      </c>
      <c r="T38" s="543">
        <f t="shared" si="1"/>
        <v>272</v>
      </c>
      <c r="U38" s="34"/>
    </row>
    <row r="39" spans="1:24" ht="24.95" customHeight="1" x14ac:dyDescent="0.25">
      <c r="A39" s="319"/>
      <c r="B39" s="34"/>
      <c r="C39" s="34"/>
      <c r="D39" s="285" t="s">
        <v>18</v>
      </c>
      <c r="E39" s="285" t="s">
        <v>489</v>
      </c>
      <c r="F39" s="285" t="s">
        <v>633</v>
      </c>
      <c r="G39" s="35">
        <v>850</v>
      </c>
      <c r="H39" s="547"/>
      <c r="I39" s="547"/>
      <c r="J39" s="547"/>
      <c r="K39" s="547">
        <v>10.1</v>
      </c>
      <c r="L39" s="547"/>
      <c r="M39" s="547">
        <v>0.1</v>
      </c>
      <c r="N39" s="547"/>
      <c r="O39" s="547">
        <v>8</v>
      </c>
      <c r="P39" s="548">
        <v>0.5</v>
      </c>
      <c r="Q39" s="548">
        <v>0.1</v>
      </c>
      <c r="R39" s="545"/>
      <c r="S39" s="545"/>
      <c r="T39" s="543">
        <f t="shared" si="1"/>
        <v>18.8</v>
      </c>
      <c r="U39" s="34"/>
    </row>
    <row r="40" spans="1:24" ht="42.6" customHeight="1" x14ac:dyDescent="0.25">
      <c r="A40" s="319"/>
      <c r="B40" s="34"/>
      <c r="C40" s="34"/>
      <c r="D40" s="285" t="s">
        <v>18</v>
      </c>
      <c r="E40" s="285" t="s">
        <v>489</v>
      </c>
      <c r="F40" s="285" t="s">
        <v>638</v>
      </c>
      <c r="G40" s="35">
        <v>110</v>
      </c>
      <c r="H40" s="547"/>
      <c r="I40" s="547"/>
      <c r="J40" s="547"/>
      <c r="K40" s="547"/>
      <c r="L40" s="547">
        <v>164.2</v>
      </c>
      <c r="M40" s="547"/>
      <c r="N40" s="547"/>
      <c r="O40" s="547"/>
      <c r="P40" s="543">
        <f>O40</f>
        <v>0</v>
      </c>
      <c r="Q40" s="543">
        <f t="shared" si="2"/>
        <v>0</v>
      </c>
      <c r="R40" s="543">
        <f t="shared" si="0"/>
        <v>0</v>
      </c>
      <c r="S40" s="543">
        <f t="shared" si="0"/>
        <v>0</v>
      </c>
      <c r="T40" s="543">
        <f t="shared" si="1"/>
        <v>164.2</v>
      </c>
      <c r="U40" s="34"/>
    </row>
    <row r="41" spans="1:24" ht="24.95" customHeight="1" x14ac:dyDescent="0.25">
      <c r="A41" s="319"/>
      <c r="B41" s="34"/>
      <c r="C41" s="34"/>
      <c r="D41" s="285" t="s">
        <v>18</v>
      </c>
      <c r="E41" s="285" t="s">
        <v>489</v>
      </c>
      <c r="F41" s="285" t="s">
        <v>649</v>
      </c>
      <c r="G41" s="35">
        <v>110</v>
      </c>
      <c r="H41" s="547">
        <v>0</v>
      </c>
      <c r="I41" s="547">
        <v>0</v>
      </c>
      <c r="J41" s="547">
        <v>0</v>
      </c>
      <c r="K41" s="547">
        <v>210.1</v>
      </c>
      <c r="L41" s="547"/>
      <c r="M41" s="547">
        <v>0</v>
      </c>
      <c r="N41" s="547">
        <v>0</v>
      </c>
      <c r="O41" s="547">
        <v>0</v>
      </c>
      <c r="P41" s="543">
        <f>O41</f>
        <v>0</v>
      </c>
      <c r="Q41" s="543">
        <f t="shared" si="2"/>
        <v>0</v>
      </c>
      <c r="R41" s="543">
        <f t="shared" si="0"/>
        <v>0</v>
      </c>
      <c r="S41" s="543">
        <f t="shared" si="0"/>
        <v>0</v>
      </c>
      <c r="T41" s="543">
        <f t="shared" si="1"/>
        <v>210.1</v>
      </c>
      <c r="U41" s="34"/>
    </row>
    <row r="42" spans="1:24" ht="48.6" customHeight="1" x14ac:dyDescent="0.25">
      <c r="A42" s="310" t="s">
        <v>650</v>
      </c>
      <c r="B42" s="42" t="s">
        <v>651</v>
      </c>
      <c r="C42" s="42" t="s">
        <v>652</v>
      </c>
      <c r="D42" s="285" t="s">
        <v>18</v>
      </c>
      <c r="E42" s="285" t="s">
        <v>489</v>
      </c>
      <c r="F42" s="285" t="s">
        <v>633</v>
      </c>
      <c r="G42" s="35">
        <v>110</v>
      </c>
      <c r="H42" s="547"/>
      <c r="I42" s="547"/>
      <c r="J42" s="547"/>
      <c r="K42" s="547"/>
      <c r="L42" s="547"/>
      <c r="M42" s="547">
        <v>2933.4</v>
      </c>
      <c r="N42" s="547">
        <v>7572.5</v>
      </c>
      <c r="O42" s="547">
        <v>11389.5</v>
      </c>
      <c r="P42" s="543">
        <v>12601.2</v>
      </c>
      <c r="Q42" s="544">
        <v>13888.5</v>
      </c>
      <c r="R42" s="543">
        <v>13365.2</v>
      </c>
      <c r="S42" s="543">
        <f t="shared" si="0"/>
        <v>13365.2</v>
      </c>
      <c r="T42" s="543">
        <f t="shared" si="1"/>
        <v>75115.5</v>
      </c>
      <c r="U42" s="34"/>
    </row>
    <row r="43" spans="1:24" ht="48.6" customHeight="1" x14ac:dyDescent="0.25">
      <c r="A43" s="311"/>
      <c r="B43" s="44"/>
      <c r="C43" s="44"/>
      <c r="D43" s="285" t="s">
        <v>18</v>
      </c>
      <c r="E43" s="285" t="s">
        <v>489</v>
      </c>
      <c r="F43" s="285" t="s">
        <v>641</v>
      </c>
      <c r="G43" s="35">
        <v>110</v>
      </c>
      <c r="H43" s="547"/>
      <c r="I43" s="547"/>
      <c r="J43" s="547"/>
      <c r="K43" s="547"/>
      <c r="L43" s="547"/>
      <c r="M43" s="547">
        <v>24</v>
      </c>
      <c r="N43" s="547">
        <v>217.3</v>
      </c>
      <c r="O43" s="547"/>
      <c r="P43" s="543">
        <v>324.2</v>
      </c>
      <c r="Q43" s="543">
        <v>0</v>
      </c>
      <c r="R43" s="543">
        <v>0</v>
      </c>
      <c r="S43" s="543">
        <f t="shared" si="0"/>
        <v>0</v>
      </c>
      <c r="T43" s="543">
        <f t="shared" si="1"/>
        <v>565.5</v>
      </c>
      <c r="U43" s="34"/>
    </row>
    <row r="44" spans="1:24" ht="36.6" customHeight="1" x14ac:dyDescent="0.25">
      <c r="A44" s="311"/>
      <c r="B44" s="44"/>
      <c r="C44" s="44"/>
      <c r="D44" s="285" t="s">
        <v>18</v>
      </c>
      <c r="E44" s="285" t="s">
        <v>489</v>
      </c>
      <c r="F44" s="285" t="s">
        <v>621</v>
      </c>
      <c r="G44" s="35">
        <v>110</v>
      </c>
      <c r="H44" s="547"/>
      <c r="I44" s="547"/>
      <c r="J44" s="547"/>
      <c r="K44" s="547"/>
      <c r="L44" s="547"/>
      <c r="M44" s="547"/>
      <c r="N44" s="547">
        <v>62.2</v>
      </c>
      <c r="O44" s="547"/>
      <c r="P44" s="543"/>
      <c r="Q44" s="543"/>
      <c r="R44" s="543">
        <f t="shared" si="0"/>
        <v>0</v>
      </c>
      <c r="S44" s="543">
        <f t="shared" si="0"/>
        <v>0</v>
      </c>
      <c r="T44" s="543">
        <f t="shared" si="1"/>
        <v>62.2</v>
      </c>
      <c r="U44" s="34"/>
    </row>
    <row r="45" spans="1:24" ht="48.6" customHeight="1" x14ac:dyDescent="0.25">
      <c r="A45" s="311"/>
      <c r="B45" s="44"/>
      <c r="C45" s="44"/>
      <c r="D45" s="285" t="s">
        <v>18</v>
      </c>
      <c r="E45" s="285" t="s">
        <v>489</v>
      </c>
      <c r="F45" s="285" t="s">
        <v>653</v>
      </c>
      <c r="G45" s="35">
        <v>110</v>
      </c>
      <c r="H45" s="547"/>
      <c r="I45" s="547"/>
      <c r="J45" s="547"/>
      <c r="K45" s="547"/>
      <c r="L45" s="547"/>
      <c r="M45" s="547">
        <v>172.3</v>
      </c>
      <c r="N45" s="547"/>
      <c r="O45" s="547"/>
      <c r="P45" s="543"/>
      <c r="Q45" s="543">
        <f t="shared" si="2"/>
        <v>0</v>
      </c>
      <c r="R45" s="543">
        <f t="shared" si="0"/>
        <v>0</v>
      </c>
      <c r="S45" s="543">
        <f t="shared" si="0"/>
        <v>0</v>
      </c>
      <c r="T45" s="543">
        <f t="shared" si="1"/>
        <v>172.3</v>
      </c>
      <c r="U45" s="34"/>
    </row>
    <row r="46" spans="1:24" ht="39" customHeight="1" x14ac:dyDescent="0.25">
      <c r="A46" s="311"/>
      <c r="B46" s="44"/>
      <c r="C46" s="44"/>
      <c r="D46" s="285" t="s">
        <v>18</v>
      </c>
      <c r="E46" s="285" t="s">
        <v>489</v>
      </c>
      <c r="F46" s="285" t="s">
        <v>642</v>
      </c>
      <c r="G46" s="35">
        <v>110</v>
      </c>
      <c r="H46" s="547"/>
      <c r="I46" s="547"/>
      <c r="J46" s="547"/>
      <c r="K46" s="547"/>
      <c r="L46" s="547"/>
      <c r="M46" s="547"/>
      <c r="N46" s="547">
        <v>202.8</v>
      </c>
      <c r="O46" s="547"/>
      <c r="P46" s="543"/>
      <c r="Q46" s="543">
        <f t="shared" si="2"/>
        <v>0</v>
      </c>
      <c r="R46" s="543">
        <f t="shared" si="0"/>
        <v>0</v>
      </c>
      <c r="S46" s="543">
        <f t="shared" si="0"/>
        <v>0</v>
      </c>
      <c r="T46" s="543">
        <f t="shared" si="1"/>
        <v>202.8</v>
      </c>
      <c r="U46" s="34"/>
    </row>
    <row r="47" spans="1:24" ht="37.15" customHeight="1" x14ac:dyDescent="0.25">
      <c r="A47" s="311"/>
      <c r="B47" s="44"/>
      <c r="C47" s="44"/>
      <c r="D47" s="285" t="s">
        <v>18</v>
      </c>
      <c r="E47" s="285" t="s">
        <v>489</v>
      </c>
      <c r="F47" s="285" t="s">
        <v>643</v>
      </c>
      <c r="G47" s="35">
        <v>110</v>
      </c>
      <c r="H47" s="547"/>
      <c r="I47" s="547"/>
      <c r="J47" s="547"/>
      <c r="K47" s="547"/>
      <c r="L47" s="547"/>
      <c r="M47" s="547">
        <v>51.5</v>
      </c>
      <c r="N47" s="547"/>
      <c r="O47" s="547"/>
      <c r="P47" s="543"/>
      <c r="Q47" s="543">
        <f t="shared" si="2"/>
        <v>0</v>
      </c>
      <c r="R47" s="543">
        <f t="shared" si="0"/>
        <v>0</v>
      </c>
      <c r="S47" s="543">
        <f t="shared" si="0"/>
        <v>0</v>
      </c>
      <c r="T47" s="543">
        <f t="shared" si="1"/>
        <v>51.5</v>
      </c>
      <c r="U47" s="34"/>
    </row>
    <row r="48" spans="1:24" ht="24.95" customHeight="1" x14ac:dyDescent="0.25">
      <c r="A48" s="311"/>
      <c r="B48" s="44"/>
      <c r="C48" s="44"/>
      <c r="D48" s="285" t="s">
        <v>18</v>
      </c>
      <c r="E48" s="285" t="s">
        <v>489</v>
      </c>
      <c r="F48" s="285" t="s">
        <v>633</v>
      </c>
      <c r="G48" s="35">
        <v>240</v>
      </c>
      <c r="H48" s="547"/>
      <c r="I48" s="547"/>
      <c r="J48" s="547"/>
      <c r="K48" s="547"/>
      <c r="L48" s="547"/>
      <c r="M48" s="547">
        <v>2454.6</v>
      </c>
      <c r="N48" s="547">
        <v>3780.8</v>
      </c>
      <c r="O48" s="547">
        <v>5328</v>
      </c>
      <c r="P48" s="543">
        <f>5411.6+31</f>
        <v>5442.6</v>
      </c>
      <c r="Q48" s="543">
        <v>4903.5</v>
      </c>
      <c r="R48" s="543">
        <v>4908.5</v>
      </c>
      <c r="S48" s="543">
        <f t="shared" si="0"/>
        <v>4908.5</v>
      </c>
      <c r="T48" s="543">
        <f t="shared" si="1"/>
        <v>31726.5</v>
      </c>
      <c r="U48" s="34"/>
    </row>
    <row r="49" spans="1:21" ht="24.95" customHeight="1" x14ac:dyDescent="0.25">
      <c r="A49" s="311"/>
      <c r="B49" s="44"/>
      <c r="C49" s="44"/>
      <c r="D49" s="285" t="s">
        <v>18</v>
      </c>
      <c r="E49" s="285" t="s">
        <v>489</v>
      </c>
      <c r="F49" s="285" t="s">
        <v>633</v>
      </c>
      <c r="G49" s="35">
        <v>320</v>
      </c>
      <c r="H49" s="547"/>
      <c r="I49" s="547"/>
      <c r="J49" s="547"/>
      <c r="K49" s="547"/>
      <c r="L49" s="547"/>
      <c r="M49" s="547">
        <v>310.10000000000002</v>
      </c>
      <c r="N49" s="547"/>
      <c r="O49" s="547"/>
      <c r="P49" s="543">
        <f>O49</f>
        <v>0</v>
      </c>
      <c r="Q49" s="543">
        <f t="shared" si="2"/>
        <v>0</v>
      </c>
      <c r="R49" s="543">
        <f t="shared" si="0"/>
        <v>0</v>
      </c>
      <c r="S49" s="543">
        <f t="shared" si="0"/>
        <v>0</v>
      </c>
      <c r="T49" s="543">
        <f>SUM(H49:S49)</f>
        <v>310.10000000000002</v>
      </c>
      <c r="U49" s="34"/>
    </row>
    <row r="50" spans="1:21" ht="24.95" customHeight="1" x14ac:dyDescent="0.25">
      <c r="A50" s="311"/>
      <c r="B50" s="44"/>
      <c r="C50" s="44"/>
      <c r="D50" s="285" t="s">
        <v>18</v>
      </c>
      <c r="E50" s="285" t="s">
        <v>489</v>
      </c>
      <c r="F50" s="285" t="s">
        <v>633</v>
      </c>
      <c r="G50" s="35">
        <v>800</v>
      </c>
      <c r="H50" s="547"/>
      <c r="I50" s="547"/>
      <c r="J50" s="547"/>
      <c r="K50" s="547"/>
      <c r="L50" s="547"/>
      <c r="M50" s="547">
        <v>29.3</v>
      </c>
      <c r="N50" s="547">
        <f>21+8.3</f>
        <v>29.3</v>
      </c>
      <c r="O50" s="547"/>
      <c r="P50" s="543">
        <f>37-31</f>
        <v>6</v>
      </c>
      <c r="Q50" s="543">
        <v>5</v>
      </c>
      <c r="R50" s="543">
        <v>0</v>
      </c>
      <c r="S50" s="543">
        <v>0</v>
      </c>
      <c r="T50" s="543">
        <f t="shared" si="1"/>
        <v>69.599999999999994</v>
      </c>
      <c r="U50" s="34"/>
    </row>
    <row r="51" spans="1:21" ht="24.95" customHeight="1" x14ac:dyDescent="0.25">
      <c r="A51" s="312"/>
      <c r="B51" s="81"/>
      <c r="C51" s="81"/>
      <c r="D51" s="285" t="s">
        <v>18</v>
      </c>
      <c r="E51" s="285" t="s">
        <v>489</v>
      </c>
      <c r="F51" s="285" t="s">
        <v>640</v>
      </c>
      <c r="G51" s="35">
        <v>110</v>
      </c>
      <c r="H51" s="547"/>
      <c r="I51" s="547"/>
      <c r="J51" s="547"/>
      <c r="K51" s="547"/>
      <c r="L51" s="547"/>
      <c r="M51" s="547">
        <v>1700.2</v>
      </c>
      <c r="N51" s="547">
        <f>1887.7+576.2</f>
        <v>2463.9</v>
      </c>
      <c r="O51" s="547"/>
      <c r="P51" s="543"/>
      <c r="Q51" s="543">
        <f t="shared" si="2"/>
        <v>0</v>
      </c>
      <c r="R51" s="543">
        <f t="shared" si="0"/>
        <v>0</v>
      </c>
      <c r="S51" s="543">
        <f t="shared" si="0"/>
        <v>0</v>
      </c>
      <c r="T51" s="543">
        <f t="shared" si="1"/>
        <v>4164.1000000000004</v>
      </c>
      <c r="U51" s="34"/>
    </row>
    <row r="52" spans="1:21" ht="24.95" customHeight="1" x14ac:dyDescent="0.25">
      <c r="A52" s="549" t="s">
        <v>344</v>
      </c>
      <c r="B52" s="549"/>
      <c r="C52" s="12"/>
      <c r="D52" s="285"/>
      <c r="E52" s="285"/>
      <c r="F52" s="326"/>
      <c r="G52" s="285"/>
      <c r="H52" s="547">
        <f>SUM(H7:H41)</f>
        <v>19536.699999999997</v>
      </c>
      <c r="I52" s="547">
        <f>SUM(I7:I41)</f>
        <v>21029.500000000004</v>
      </c>
      <c r="J52" s="547">
        <f>SUM(J7:J41)</f>
        <v>21804.799999999996</v>
      </c>
      <c r="K52" s="547">
        <f>SUM(K7:K41)</f>
        <v>23513.399999999994</v>
      </c>
      <c r="L52" s="547">
        <f>SUM(L7:L41)</f>
        <v>24124.210000000003</v>
      </c>
      <c r="M52" s="547">
        <f t="shared" ref="M52:R52" si="4">SUM(M7:M51)</f>
        <v>32474.699999999997</v>
      </c>
      <c r="N52" s="547">
        <f t="shared" si="4"/>
        <v>42023.500000000007</v>
      </c>
      <c r="O52" s="547">
        <f t="shared" si="4"/>
        <v>48659.74</v>
      </c>
      <c r="P52" s="547">
        <f>SUM(P7:P51)</f>
        <v>56637.1</v>
      </c>
      <c r="Q52" s="547">
        <f>SUM(Q7:Q51)</f>
        <v>58036.799999999996</v>
      </c>
      <c r="R52" s="547">
        <f t="shared" si="4"/>
        <v>56406.8</v>
      </c>
      <c r="S52" s="547">
        <f>SUM(S7:S51)</f>
        <v>56406.8</v>
      </c>
      <c r="T52" s="543">
        <f t="shared" si="1"/>
        <v>460654.04999999993</v>
      </c>
      <c r="U52" s="34"/>
    </row>
    <row r="53" spans="1:21" ht="35.1" customHeight="1" x14ac:dyDescent="0.25">
      <c r="A53" s="282" t="s">
        <v>610</v>
      </c>
      <c r="B53" s="282"/>
      <c r="C53" s="282"/>
      <c r="D53" s="282"/>
      <c r="E53" s="282"/>
      <c r="F53" s="282"/>
      <c r="G53" s="282"/>
      <c r="H53" s="282"/>
      <c r="I53" s="282"/>
      <c r="J53" s="282"/>
      <c r="K53" s="282"/>
      <c r="L53" s="282"/>
      <c r="M53" s="282"/>
      <c r="N53" s="282"/>
      <c r="O53" s="282"/>
      <c r="P53" s="282"/>
      <c r="Q53" s="282"/>
      <c r="R53" s="282"/>
      <c r="S53" s="282"/>
      <c r="T53" s="282"/>
      <c r="U53" s="282"/>
    </row>
    <row r="54" spans="1:21" ht="24.95" customHeight="1" x14ac:dyDescent="0.25">
      <c r="A54" s="310" t="s">
        <v>654</v>
      </c>
      <c r="B54" s="42" t="s">
        <v>655</v>
      </c>
      <c r="C54" s="42" t="s">
        <v>656</v>
      </c>
      <c r="D54" s="550" t="s">
        <v>18</v>
      </c>
      <c r="E54" s="551" t="s">
        <v>489</v>
      </c>
      <c r="F54" s="285" t="s">
        <v>657</v>
      </c>
      <c r="G54" s="12">
        <v>120</v>
      </c>
      <c r="H54" s="547">
        <v>817.5</v>
      </c>
      <c r="I54" s="547">
        <v>841.6</v>
      </c>
      <c r="J54" s="547">
        <v>858.7</v>
      </c>
      <c r="K54" s="547">
        <v>858.7</v>
      </c>
      <c r="L54" s="547">
        <v>1430.7</v>
      </c>
      <c r="M54" s="547">
        <v>1626.7</v>
      </c>
      <c r="N54" s="547">
        <v>1904.9</v>
      </c>
      <c r="O54" s="547">
        <v>2072.4</v>
      </c>
      <c r="P54" s="547">
        <f>2279.6+98</f>
        <v>2377.6</v>
      </c>
      <c r="Q54" s="552">
        <v>2888.3</v>
      </c>
      <c r="R54" s="547">
        <v>2475.6999999999998</v>
      </c>
      <c r="S54" s="547">
        <f t="shared" ref="Q54:S59" si="5">R54</f>
        <v>2475.6999999999998</v>
      </c>
      <c r="T54" s="547">
        <f>SUM(H54:S54)</f>
        <v>20628.5</v>
      </c>
      <c r="U54" s="34" t="s">
        <v>658</v>
      </c>
    </row>
    <row r="55" spans="1:21" ht="24.95" customHeight="1" x14ac:dyDescent="0.25">
      <c r="A55" s="311"/>
      <c r="B55" s="44"/>
      <c r="C55" s="44"/>
      <c r="D55" s="550"/>
      <c r="E55" s="551"/>
      <c r="F55" s="285" t="s">
        <v>657</v>
      </c>
      <c r="G55" s="12">
        <v>850</v>
      </c>
      <c r="H55" s="547"/>
      <c r="I55" s="547"/>
      <c r="J55" s="547">
        <v>0.3</v>
      </c>
      <c r="K55" s="547"/>
      <c r="L55" s="547">
        <v>0.6</v>
      </c>
      <c r="M55" s="547">
        <v>0.6</v>
      </c>
      <c r="N55" s="547">
        <v>0.6</v>
      </c>
      <c r="O55" s="547">
        <v>0</v>
      </c>
      <c r="P55" s="547">
        <v>0</v>
      </c>
      <c r="Q55" s="547">
        <f t="shared" si="5"/>
        <v>0</v>
      </c>
      <c r="R55" s="547">
        <f t="shared" si="5"/>
        <v>0</v>
      </c>
      <c r="S55" s="547">
        <f t="shared" si="5"/>
        <v>0</v>
      </c>
      <c r="T55" s="547">
        <f t="shared" ref="T55:T66" si="6">SUM(H55:S55)</f>
        <v>2.1</v>
      </c>
      <c r="U55" s="34"/>
    </row>
    <row r="56" spans="1:21" ht="24.95" customHeight="1" x14ac:dyDescent="0.25">
      <c r="A56" s="311"/>
      <c r="B56" s="44"/>
      <c r="C56" s="44"/>
      <c r="D56" s="550"/>
      <c r="E56" s="551"/>
      <c r="F56" s="285" t="s">
        <v>657</v>
      </c>
      <c r="G56" s="35">
        <v>244</v>
      </c>
      <c r="H56" s="547">
        <v>248</v>
      </c>
      <c r="I56" s="547">
        <v>247.9</v>
      </c>
      <c r="J56" s="547">
        <v>247.6</v>
      </c>
      <c r="K56" s="547">
        <v>247.9</v>
      </c>
      <c r="L56" s="547">
        <v>383.9</v>
      </c>
      <c r="M56" s="547">
        <v>399</v>
      </c>
      <c r="N56" s="547">
        <v>399</v>
      </c>
      <c r="O56" s="547">
        <v>432.2</v>
      </c>
      <c r="P56" s="547">
        <v>449</v>
      </c>
      <c r="Q56" s="552">
        <v>552.1</v>
      </c>
      <c r="R56" s="547">
        <v>473.2</v>
      </c>
      <c r="S56" s="547">
        <f t="shared" si="5"/>
        <v>473.2</v>
      </c>
      <c r="T56" s="547">
        <f t="shared" si="6"/>
        <v>4553</v>
      </c>
      <c r="U56" s="34"/>
    </row>
    <row r="57" spans="1:21" s="58" customFormat="1" ht="24.95" customHeight="1" x14ac:dyDescent="0.25">
      <c r="A57" s="311"/>
      <c r="B57" s="44"/>
      <c r="C57" s="44"/>
      <c r="D57" s="260" t="s">
        <v>18</v>
      </c>
      <c r="E57" s="291" t="s">
        <v>489</v>
      </c>
      <c r="F57" s="291" t="s">
        <v>659</v>
      </c>
      <c r="G57" s="13">
        <v>120</v>
      </c>
      <c r="H57" s="548"/>
      <c r="I57" s="548"/>
      <c r="J57" s="548"/>
      <c r="K57" s="548"/>
      <c r="L57" s="548"/>
      <c r="M57" s="548"/>
      <c r="N57" s="548"/>
      <c r="O57" s="548"/>
      <c r="P57" s="548">
        <v>103.2</v>
      </c>
      <c r="Q57" s="548">
        <v>132.4</v>
      </c>
      <c r="R57" s="548">
        <v>0</v>
      </c>
      <c r="S57" s="548">
        <f>R57</f>
        <v>0</v>
      </c>
      <c r="T57" s="548">
        <f>SUM(H57:S57)</f>
        <v>235.60000000000002</v>
      </c>
      <c r="U57" s="371"/>
    </row>
    <row r="58" spans="1:21" s="58" customFormat="1" ht="24.95" customHeight="1" x14ac:dyDescent="0.25">
      <c r="A58" s="312"/>
      <c r="B58" s="81"/>
      <c r="C58" s="81"/>
      <c r="D58" s="260" t="s">
        <v>18</v>
      </c>
      <c r="E58" s="291" t="s">
        <v>489</v>
      </c>
      <c r="F58" s="291" t="s">
        <v>659</v>
      </c>
      <c r="G58" s="13">
        <v>244</v>
      </c>
      <c r="H58" s="548"/>
      <c r="I58" s="548"/>
      <c r="J58" s="548"/>
      <c r="K58" s="548"/>
      <c r="L58" s="548"/>
      <c r="M58" s="548"/>
      <c r="N58" s="548"/>
      <c r="O58" s="548"/>
      <c r="P58" s="548">
        <v>4.0999999999999996</v>
      </c>
      <c r="Q58" s="548">
        <v>4.3</v>
      </c>
      <c r="R58" s="548">
        <v>0</v>
      </c>
      <c r="S58" s="548">
        <f>R58</f>
        <v>0</v>
      </c>
      <c r="T58" s="548">
        <f>SUM(H58:S58)</f>
        <v>8.3999999999999986</v>
      </c>
      <c r="U58" s="371"/>
    </row>
    <row r="59" spans="1:21" ht="24.95" customHeight="1" x14ac:dyDescent="0.25">
      <c r="A59" s="319" t="s">
        <v>660</v>
      </c>
      <c r="B59" s="553" t="s">
        <v>661</v>
      </c>
      <c r="C59" s="34" t="s">
        <v>662</v>
      </c>
      <c r="D59" s="285" t="s">
        <v>20</v>
      </c>
      <c r="E59" s="285" t="s">
        <v>314</v>
      </c>
      <c r="F59" s="285" t="s">
        <v>663</v>
      </c>
      <c r="G59" s="285" t="s">
        <v>664</v>
      </c>
      <c r="H59" s="547">
        <v>2129.1999999999998</v>
      </c>
      <c r="I59" s="547">
        <v>3247.3</v>
      </c>
      <c r="J59" s="547">
        <v>9009.9</v>
      </c>
      <c r="K59" s="547">
        <v>0</v>
      </c>
      <c r="L59" s="547"/>
      <c r="M59" s="547"/>
      <c r="N59" s="547"/>
      <c r="O59" s="547"/>
      <c r="P59" s="547">
        <f>O59</f>
        <v>0</v>
      </c>
      <c r="Q59" s="547">
        <f t="shared" si="5"/>
        <v>0</v>
      </c>
      <c r="R59" s="547">
        <f t="shared" si="5"/>
        <v>0</v>
      </c>
      <c r="S59" s="547">
        <f t="shared" si="5"/>
        <v>0</v>
      </c>
      <c r="T59" s="547">
        <f t="shared" si="6"/>
        <v>14386.4</v>
      </c>
      <c r="U59" s="34" t="s">
        <v>665</v>
      </c>
    </row>
    <row r="60" spans="1:21" ht="30" customHeight="1" x14ac:dyDescent="0.25">
      <c r="A60" s="319"/>
      <c r="B60" s="553"/>
      <c r="C60" s="34"/>
      <c r="D60" s="285" t="s">
        <v>20</v>
      </c>
      <c r="E60" s="285" t="s">
        <v>314</v>
      </c>
      <c r="F60" s="285" t="s">
        <v>666</v>
      </c>
      <c r="G60" s="285" t="s">
        <v>664</v>
      </c>
      <c r="H60" s="547">
        <v>5394</v>
      </c>
      <c r="I60" s="547">
        <v>4190.7</v>
      </c>
      <c r="J60" s="547"/>
      <c r="K60" s="547"/>
      <c r="L60" s="547"/>
      <c r="M60" s="547"/>
      <c r="N60" s="547"/>
      <c r="O60" s="547">
        <v>5577.5</v>
      </c>
      <c r="P60" s="547">
        <v>26172.400000000001</v>
      </c>
      <c r="Q60" s="548">
        <f>22020.4-3237.4+709.5+1205.7</f>
        <v>20698.2</v>
      </c>
      <c r="R60" s="548">
        <f>7340.1+3547.7</f>
        <v>10887.8</v>
      </c>
      <c r="S60" s="548">
        <f>7340.1+3792.4</f>
        <v>11132.5</v>
      </c>
      <c r="T60" s="547">
        <f t="shared" si="6"/>
        <v>84053.1</v>
      </c>
      <c r="U60" s="34"/>
    </row>
    <row r="61" spans="1:21" ht="59.45" customHeight="1" x14ac:dyDescent="0.25">
      <c r="A61" s="319"/>
      <c r="B61" s="553"/>
      <c r="C61" s="34"/>
      <c r="D61" s="285" t="s">
        <v>20</v>
      </c>
      <c r="E61" s="285" t="s">
        <v>314</v>
      </c>
      <c r="F61" s="285" t="s">
        <v>667</v>
      </c>
      <c r="G61" s="285" t="s">
        <v>664</v>
      </c>
      <c r="H61" s="547"/>
      <c r="I61" s="547"/>
      <c r="J61" s="547">
        <v>473.9</v>
      </c>
      <c r="K61" s="547">
        <f>5610+2805+765</f>
        <v>9180</v>
      </c>
      <c r="L61" s="547">
        <v>10241.9</v>
      </c>
      <c r="M61" s="547">
        <v>9907.9</v>
      </c>
      <c r="N61" s="547">
        <v>15279.7</v>
      </c>
      <c r="O61" s="547">
        <f>3555.7-3473.3-82.4</f>
        <v>-3.694822225952521E-13</v>
      </c>
      <c r="P61" s="547">
        <v>920</v>
      </c>
      <c r="Q61" s="548">
        <f>1737.2+3237.4</f>
        <v>4974.6000000000004</v>
      </c>
      <c r="R61" s="548">
        <v>8685.9</v>
      </c>
      <c r="S61" s="548">
        <v>8441.2000000000007</v>
      </c>
      <c r="T61" s="547">
        <f t="shared" si="6"/>
        <v>68105.099999999991</v>
      </c>
      <c r="U61" s="34"/>
    </row>
    <row r="62" spans="1:21" ht="35.1" customHeight="1" x14ac:dyDescent="0.3">
      <c r="A62" s="554" t="s">
        <v>504</v>
      </c>
      <c r="B62" s="554"/>
      <c r="C62" s="555"/>
      <c r="D62" s="556"/>
      <c r="E62" s="556"/>
      <c r="F62" s="557"/>
      <c r="G62" s="556"/>
      <c r="H62" s="547">
        <f t="shared" ref="H62:N62" si="7">SUM(H54:H61)</f>
        <v>8588.7000000000007</v>
      </c>
      <c r="I62" s="547">
        <f t="shared" si="7"/>
        <v>8527.5</v>
      </c>
      <c r="J62" s="547">
        <f t="shared" si="7"/>
        <v>10590.4</v>
      </c>
      <c r="K62" s="547">
        <f t="shared" si="7"/>
        <v>10286.6</v>
      </c>
      <c r="L62" s="547">
        <f>SUM(L54:L61)</f>
        <v>12057.099999999999</v>
      </c>
      <c r="M62" s="547">
        <f t="shared" si="7"/>
        <v>11934.199999999999</v>
      </c>
      <c r="N62" s="547">
        <f t="shared" si="7"/>
        <v>17584.2</v>
      </c>
      <c r="O62" s="547">
        <f>SUM(O54:O61)</f>
        <v>8082.1</v>
      </c>
      <c r="P62" s="547">
        <f>SUM(P54:P61)</f>
        <v>30026.300000000003</v>
      </c>
      <c r="Q62" s="547">
        <f>SUM(Q54:Q61)</f>
        <v>29249.9</v>
      </c>
      <c r="R62" s="547">
        <f>R54+R56+R60+R61</f>
        <v>22522.6</v>
      </c>
      <c r="S62" s="547">
        <f>S54+S56+S60+S61</f>
        <v>22522.6</v>
      </c>
      <c r="T62" s="547">
        <f t="shared" si="6"/>
        <v>191972.2</v>
      </c>
      <c r="U62" s="558"/>
    </row>
    <row r="63" spans="1:21" s="166" customFormat="1" ht="35.1" customHeight="1" x14ac:dyDescent="0.2">
      <c r="A63" s="559" t="s">
        <v>345</v>
      </c>
      <c r="B63" s="559"/>
      <c r="C63" s="555"/>
      <c r="D63" s="556"/>
      <c r="E63" s="555"/>
      <c r="F63" s="555"/>
      <c r="G63" s="555"/>
      <c r="H63" s="547">
        <f t="shared" ref="H63:S63" si="8">H52+H62</f>
        <v>28125.399999999998</v>
      </c>
      <c r="I63" s="547">
        <f t="shared" si="8"/>
        <v>29557.000000000004</v>
      </c>
      <c r="J63" s="547">
        <f t="shared" si="8"/>
        <v>32395.199999999997</v>
      </c>
      <c r="K63" s="547">
        <f t="shared" si="8"/>
        <v>33799.999999999993</v>
      </c>
      <c r="L63" s="547">
        <f t="shared" si="8"/>
        <v>36181.31</v>
      </c>
      <c r="M63" s="547">
        <f t="shared" si="8"/>
        <v>44408.899999999994</v>
      </c>
      <c r="N63" s="547">
        <f t="shared" si="8"/>
        <v>59607.700000000012</v>
      </c>
      <c r="O63" s="547">
        <f>O52+O62+0.1</f>
        <v>56741.939999999995</v>
      </c>
      <c r="P63" s="547">
        <f>P52+P62</f>
        <v>86663.4</v>
      </c>
      <c r="Q63" s="547">
        <f>Q52+Q62</f>
        <v>87286.7</v>
      </c>
      <c r="R63" s="547">
        <f t="shared" si="8"/>
        <v>78929.399999999994</v>
      </c>
      <c r="S63" s="547">
        <f t="shared" si="8"/>
        <v>78929.399999999994</v>
      </c>
      <c r="T63" s="547">
        <f t="shared" si="6"/>
        <v>652626.35</v>
      </c>
      <c r="U63" s="560"/>
    </row>
    <row r="64" spans="1:21" s="166" customFormat="1" ht="35.1" customHeight="1" x14ac:dyDescent="0.2">
      <c r="A64" s="561" t="s">
        <v>551</v>
      </c>
      <c r="B64" s="562"/>
      <c r="C64" s="555"/>
      <c r="D64" s="556"/>
      <c r="E64" s="555"/>
      <c r="F64" s="555"/>
      <c r="G64" s="555"/>
      <c r="H64" s="547"/>
      <c r="I64" s="547"/>
      <c r="J64" s="547"/>
      <c r="K64" s="547"/>
      <c r="L64" s="547"/>
      <c r="M64" s="547"/>
      <c r="N64" s="547"/>
      <c r="O64" s="547"/>
      <c r="P64" s="547">
        <f>P61</f>
        <v>920</v>
      </c>
      <c r="Q64" s="547">
        <v>4974.6000000000004</v>
      </c>
      <c r="R64" s="547">
        <f>R61</f>
        <v>8685.9</v>
      </c>
      <c r="S64" s="547">
        <f>S61</f>
        <v>8441.2000000000007</v>
      </c>
      <c r="T64" s="547">
        <f t="shared" si="6"/>
        <v>23021.7</v>
      </c>
      <c r="U64" s="560"/>
    </row>
    <row r="65" spans="1:21" s="166" customFormat="1" ht="35.1" customHeight="1" x14ac:dyDescent="0.2">
      <c r="A65" s="559" t="s">
        <v>325</v>
      </c>
      <c r="B65" s="559"/>
      <c r="C65" s="555"/>
      <c r="D65" s="556"/>
      <c r="E65" s="555"/>
      <c r="F65" s="555"/>
      <c r="G65" s="555"/>
      <c r="H65" s="547">
        <f>H62</f>
        <v>8588.7000000000007</v>
      </c>
      <c r="I65" s="547">
        <f>I62</f>
        <v>8527.5</v>
      </c>
      <c r="J65" s="547">
        <f>J62</f>
        <v>10590.4</v>
      </c>
      <c r="K65" s="547">
        <f>K62</f>
        <v>10286.6</v>
      </c>
      <c r="L65" s="547">
        <f>L62+L40+L18+L17+L20+L16</f>
        <v>12950.499999999998</v>
      </c>
      <c r="M65" s="547">
        <f>M15+M17+M18+M23+M26+M35+M36+M43+M45+M47+M62</f>
        <v>12440.3</v>
      </c>
      <c r="N65" s="547">
        <f>N10+N11+N13+N23+N24+N25+N32+N33+N36+N44++N43+N46+N62+N12</f>
        <v>19788.699999999997</v>
      </c>
      <c r="O65" s="547">
        <f>O15+O17+O18+O23+O26+O35+O36+O43+O45+O47+O62</f>
        <v>8082.1</v>
      </c>
      <c r="P65" s="547">
        <f>P15+P17+P18+P23+P26+P35+P36+P43+P45+P47+P62-P64</f>
        <v>29552.000000000004</v>
      </c>
      <c r="Q65" s="548">
        <f>Q15+Q17+Q18+Q23+Q26+Q35+Q36+Q43+Q45+Q47+Q62-Q64</f>
        <v>24275.300000000003</v>
      </c>
      <c r="R65" s="547">
        <f>R15+R17+R18+R23+R26+R35+R36+R43+R45+R47+R62-R64</f>
        <v>13836.699999999999</v>
      </c>
      <c r="S65" s="547">
        <f>S15+S17+S18+S23+S26+S35+S36+S43+S45+S47+S62-S64</f>
        <v>14081.399999999998</v>
      </c>
      <c r="T65" s="547">
        <f t="shared" si="6"/>
        <v>173000.2</v>
      </c>
      <c r="U65" s="563"/>
    </row>
    <row r="66" spans="1:21" s="166" customFormat="1" ht="35.1" customHeight="1" x14ac:dyDescent="0.2">
      <c r="A66" s="559" t="s">
        <v>346</v>
      </c>
      <c r="B66" s="559"/>
      <c r="C66" s="555"/>
      <c r="D66" s="556"/>
      <c r="E66" s="555"/>
      <c r="F66" s="555"/>
      <c r="G66" s="555"/>
      <c r="H66" s="547">
        <f>H52</f>
        <v>19536.699999999997</v>
      </c>
      <c r="I66" s="547">
        <f>I52</f>
        <v>21029.500000000004</v>
      </c>
      <c r="J66" s="547">
        <f>J52</f>
        <v>21804.799999999996</v>
      </c>
      <c r="K66" s="547">
        <f>K52</f>
        <v>23513.399999999994</v>
      </c>
      <c r="L66" s="547">
        <f>L7+L8+L19+L21+L22+L27+L28+L29+L30+L31+L37+L38+L9</f>
        <v>23230.81</v>
      </c>
      <c r="M66" s="547">
        <f>M63-M65</f>
        <v>31968.599999999995</v>
      </c>
      <c r="N66" s="547">
        <f>N63-N65</f>
        <v>39819.000000000015</v>
      </c>
      <c r="O66" s="547">
        <f>O63-O65</f>
        <v>48659.839999999997</v>
      </c>
      <c r="P66" s="547">
        <f>P63-P65-P64</f>
        <v>56191.399999999994</v>
      </c>
      <c r="Q66" s="547">
        <f>Q63-Q65-Q64</f>
        <v>58036.799999999996</v>
      </c>
      <c r="R66" s="547">
        <f>R63-R65-R64</f>
        <v>56406.799999999996</v>
      </c>
      <c r="S66" s="547">
        <f>S63-S65-S64</f>
        <v>56406.8</v>
      </c>
      <c r="T66" s="547">
        <f t="shared" si="6"/>
        <v>456604.44999999995</v>
      </c>
      <c r="U66" s="560"/>
    </row>
    <row r="67" spans="1:21" s="358" customFormat="1" ht="45.6" customHeight="1" x14ac:dyDescent="0.3">
      <c r="A67" s="564" t="s">
        <v>33</v>
      </c>
      <c r="B67" s="564"/>
      <c r="C67" s="564"/>
      <c r="D67" s="565"/>
      <c r="E67" s="565"/>
      <c r="F67" s="565"/>
      <c r="G67" s="565"/>
      <c r="H67" s="565"/>
      <c r="I67" s="566"/>
      <c r="J67" s="567"/>
      <c r="K67" s="568"/>
      <c r="L67" s="569"/>
      <c r="M67" s="569"/>
      <c r="N67" s="569"/>
      <c r="O67" s="569"/>
      <c r="P67" s="567"/>
      <c r="Q67" s="567"/>
      <c r="R67" s="567"/>
      <c r="S67" s="567"/>
      <c r="T67" s="567"/>
      <c r="U67" s="570" t="s">
        <v>34</v>
      </c>
    </row>
    <row r="68" spans="1:21" x14ac:dyDescent="0.25">
      <c r="A68" s="337"/>
      <c r="B68" s="338"/>
      <c r="C68" s="339"/>
      <c r="D68" s="339"/>
      <c r="E68" s="339"/>
      <c r="F68" s="339"/>
      <c r="G68" s="339"/>
      <c r="H68" s="339"/>
      <c r="L68" s="59"/>
    </row>
    <row r="69" spans="1:21" x14ac:dyDescent="0.25">
      <c r="A69" s="337"/>
      <c r="B69" s="338"/>
      <c r="C69" s="339"/>
      <c r="D69" s="339"/>
      <c r="E69" s="339"/>
      <c r="F69" s="339"/>
      <c r="G69" s="339"/>
      <c r="H69" s="339"/>
    </row>
    <row r="70" spans="1:21" x14ac:dyDescent="0.25">
      <c r="A70" s="337"/>
      <c r="B70" s="338"/>
      <c r="C70" s="339"/>
      <c r="D70" s="339"/>
      <c r="E70" s="339"/>
      <c r="F70" s="339"/>
      <c r="G70" s="339"/>
      <c r="H70" s="339"/>
      <c r="I70" s="55"/>
      <c r="Q70" s="546">
        <f>Q19+Q21+Q29+Q42</f>
        <v>45847.1</v>
      </c>
    </row>
    <row r="71" spans="1:21" x14ac:dyDescent="0.25">
      <c r="A71" s="337"/>
      <c r="B71" s="338"/>
      <c r="C71" s="339"/>
      <c r="D71" s="339"/>
      <c r="E71" s="339"/>
      <c r="F71" s="339"/>
      <c r="G71" s="339"/>
      <c r="H71" s="339"/>
    </row>
    <row r="72" spans="1:21" x14ac:dyDescent="0.25">
      <c r="A72" s="337"/>
      <c r="B72" s="338"/>
      <c r="C72" s="339"/>
      <c r="D72" s="339"/>
      <c r="E72" s="339"/>
      <c r="F72" s="339"/>
      <c r="G72" s="339"/>
      <c r="H72" s="339"/>
    </row>
    <row r="73" spans="1:21" x14ac:dyDescent="0.25">
      <c r="A73" s="337"/>
      <c r="B73" s="338"/>
      <c r="C73" s="339"/>
      <c r="D73" s="339"/>
      <c r="E73" s="339"/>
      <c r="F73" s="339"/>
      <c r="G73" s="339"/>
      <c r="H73" s="339"/>
    </row>
    <row r="74" spans="1:21" x14ac:dyDescent="0.25">
      <c r="A74" s="337"/>
      <c r="B74" s="338"/>
      <c r="C74" s="339"/>
      <c r="D74" s="339"/>
      <c r="E74" s="339"/>
      <c r="F74" s="339"/>
      <c r="G74" s="339"/>
      <c r="H74" s="339"/>
    </row>
    <row r="75" spans="1:21" x14ac:dyDescent="0.25">
      <c r="A75" s="337"/>
      <c r="B75" s="338"/>
      <c r="C75" s="339"/>
      <c r="D75" s="339"/>
      <c r="E75" s="339"/>
      <c r="F75" s="339"/>
      <c r="G75" s="339"/>
      <c r="H75" s="339"/>
    </row>
    <row r="76" spans="1:21" x14ac:dyDescent="0.25">
      <c r="A76" s="337"/>
      <c r="B76" s="338"/>
      <c r="C76" s="339"/>
      <c r="D76" s="339"/>
      <c r="E76" s="339"/>
      <c r="F76" s="339"/>
      <c r="G76" s="339"/>
      <c r="H76" s="339"/>
    </row>
    <row r="77" spans="1:21" x14ac:dyDescent="0.25">
      <c r="A77" s="337"/>
      <c r="B77" s="338"/>
      <c r="C77" s="339"/>
      <c r="D77" s="339"/>
      <c r="E77" s="339"/>
      <c r="F77" s="339"/>
      <c r="G77" s="339"/>
      <c r="H77" s="339"/>
    </row>
    <row r="78" spans="1:21" x14ac:dyDescent="0.25">
      <c r="A78" s="337"/>
      <c r="B78" s="338"/>
      <c r="C78" s="339"/>
      <c r="D78" s="339"/>
      <c r="E78" s="339"/>
      <c r="F78" s="339"/>
      <c r="G78" s="339"/>
      <c r="H78" s="339"/>
    </row>
    <row r="79" spans="1:21" x14ac:dyDescent="0.25">
      <c r="A79" s="337"/>
      <c r="B79" s="338"/>
      <c r="C79" s="339"/>
      <c r="D79" s="339"/>
      <c r="E79" s="339"/>
      <c r="F79" s="339"/>
      <c r="G79" s="339"/>
      <c r="H79" s="339"/>
    </row>
    <row r="80" spans="1:21" x14ac:dyDescent="0.25">
      <c r="A80" s="337"/>
      <c r="B80" s="338"/>
      <c r="C80" s="339"/>
      <c r="D80" s="339"/>
      <c r="E80" s="339"/>
      <c r="F80" s="339"/>
      <c r="G80" s="339"/>
      <c r="H80" s="339"/>
    </row>
    <row r="81" spans="1:8" x14ac:dyDescent="0.25">
      <c r="A81" s="337"/>
      <c r="B81" s="338"/>
      <c r="C81" s="339"/>
      <c r="D81" s="339"/>
      <c r="E81" s="339"/>
      <c r="F81" s="339"/>
      <c r="G81" s="339"/>
      <c r="H81" s="339"/>
    </row>
    <row r="82" spans="1:8" x14ac:dyDescent="0.25">
      <c r="A82" s="337"/>
      <c r="B82" s="338"/>
      <c r="C82" s="339"/>
      <c r="D82" s="339"/>
      <c r="E82" s="339"/>
      <c r="F82" s="339"/>
      <c r="G82" s="339"/>
      <c r="H82" s="339"/>
    </row>
    <row r="83" spans="1:8" x14ac:dyDescent="0.25">
      <c r="A83" s="337"/>
      <c r="B83" s="338"/>
      <c r="C83" s="339"/>
      <c r="D83" s="339"/>
      <c r="E83" s="339"/>
      <c r="F83" s="339"/>
      <c r="G83" s="339"/>
      <c r="H83" s="339"/>
    </row>
    <row r="84" spans="1:8" x14ac:dyDescent="0.25">
      <c r="A84" s="337"/>
      <c r="B84" s="338"/>
      <c r="C84" s="339"/>
      <c r="D84" s="339"/>
      <c r="E84" s="339"/>
      <c r="F84" s="339"/>
      <c r="G84" s="339"/>
      <c r="H84" s="339"/>
    </row>
    <row r="85" spans="1:8" x14ac:dyDescent="0.25">
      <c r="A85" s="337"/>
      <c r="B85" s="338"/>
      <c r="C85" s="339"/>
      <c r="D85" s="339"/>
      <c r="E85" s="339"/>
      <c r="F85" s="339"/>
      <c r="G85" s="339"/>
      <c r="H85" s="339"/>
    </row>
    <row r="86" spans="1:8" x14ac:dyDescent="0.25">
      <c r="A86" s="337"/>
      <c r="B86" s="338"/>
      <c r="C86" s="339"/>
      <c r="D86" s="339"/>
      <c r="E86" s="339"/>
      <c r="F86" s="339"/>
      <c r="G86" s="339"/>
      <c r="H86" s="339"/>
    </row>
    <row r="87" spans="1:8" x14ac:dyDescent="0.25">
      <c r="A87" s="337"/>
      <c r="B87" s="338"/>
      <c r="C87" s="339"/>
      <c r="D87" s="339"/>
      <c r="E87" s="339"/>
      <c r="F87" s="339"/>
      <c r="G87" s="339"/>
      <c r="H87" s="339"/>
    </row>
    <row r="88" spans="1:8" x14ac:dyDescent="0.25">
      <c r="A88" s="337"/>
      <c r="B88" s="338"/>
      <c r="C88" s="339"/>
      <c r="D88" s="339"/>
      <c r="E88" s="339"/>
      <c r="F88" s="339"/>
      <c r="G88" s="339"/>
      <c r="H88" s="339"/>
    </row>
    <row r="89" spans="1:8" x14ac:dyDescent="0.25">
      <c r="A89" s="337"/>
      <c r="B89" s="338"/>
      <c r="C89" s="339"/>
      <c r="D89" s="339"/>
      <c r="E89" s="339"/>
      <c r="F89" s="339"/>
      <c r="G89" s="339"/>
      <c r="H89" s="339"/>
    </row>
    <row r="90" spans="1:8" x14ac:dyDescent="0.25">
      <c r="A90" s="337"/>
      <c r="B90" s="338"/>
      <c r="C90" s="339"/>
      <c r="D90" s="339"/>
      <c r="E90" s="339"/>
      <c r="F90" s="339"/>
      <c r="G90" s="339"/>
      <c r="H90" s="339"/>
    </row>
    <row r="91" spans="1:8" x14ac:dyDescent="0.25">
      <c r="A91" s="337"/>
      <c r="B91" s="338"/>
      <c r="C91" s="339"/>
      <c r="D91" s="339"/>
      <c r="E91" s="339"/>
      <c r="F91" s="339"/>
      <c r="G91" s="339"/>
      <c r="H91" s="339"/>
    </row>
    <row r="92" spans="1:8" x14ac:dyDescent="0.25">
      <c r="A92" s="337"/>
      <c r="B92" s="338"/>
      <c r="C92" s="339"/>
      <c r="D92" s="339"/>
      <c r="E92" s="339"/>
      <c r="F92" s="339"/>
      <c r="G92" s="339"/>
      <c r="H92" s="339"/>
    </row>
    <row r="93" spans="1:8" x14ac:dyDescent="0.25">
      <c r="A93" s="337"/>
      <c r="B93" s="338"/>
      <c r="C93" s="339"/>
      <c r="D93" s="339"/>
      <c r="E93" s="339"/>
      <c r="F93" s="339"/>
      <c r="G93" s="339"/>
      <c r="H93" s="339"/>
    </row>
    <row r="94" spans="1:8" x14ac:dyDescent="0.25">
      <c r="A94" s="337"/>
      <c r="B94" s="338"/>
      <c r="C94" s="339"/>
      <c r="D94" s="339"/>
      <c r="E94" s="339"/>
      <c r="F94" s="339"/>
      <c r="G94" s="339"/>
      <c r="H94" s="339"/>
    </row>
    <row r="95" spans="1:8" x14ac:dyDescent="0.25">
      <c r="A95" s="337"/>
      <c r="B95" s="338"/>
      <c r="C95" s="339"/>
      <c r="D95" s="339"/>
      <c r="E95" s="339"/>
      <c r="F95" s="339"/>
      <c r="G95" s="339"/>
      <c r="H95" s="339"/>
    </row>
    <row r="96" spans="1:8" x14ac:dyDescent="0.25">
      <c r="A96" s="337"/>
      <c r="B96" s="338"/>
      <c r="C96" s="339"/>
      <c r="D96" s="339"/>
      <c r="E96" s="339"/>
      <c r="F96" s="339"/>
      <c r="G96" s="339"/>
      <c r="H96" s="339"/>
    </row>
    <row r="97" spans="1:8" x14ac:dyDescent="0.25">
      <c r="A97" s="337"/>
      <c r="B97" s="338"/>
      <c r="C97" s="339"/>
      <c r="D97" s="339"/>
      <c r="E97" s="339"/>
      <c r="F97" s="339"/>
      <c r="G97" s="339"/>
      <c r="H97" s="339"/>
    </row>
    <row r="98" spans="1:8" x14ac:dyDescent="0.25">
      <c r="A98" s="337"/>
      <c r="B98" s="338"/>
      <c r="C98" s="339"/>
      <c r="D98" s="339"/>
      <c r="E98" s="339"/>
      <c r="F98" s="339"/>
      <c r="G98" s="339"/>
      <c r="H98" s="339"/>
    </row>
    <row r="99" spans="1:8" x14ac:dyDescent="0.25">
      <c r="A99" s="337"/>
      <c r="B99" s="338"/>
      <c r="C99" s="339"/>
      <c r="D99" s="339"/>
      <c r="E99" s="339"/>
      <c r="F99" s="339"/>
      <c r="G99" s="339"/>
      <c r="H99" s="339"/>
    </row>
    <row r="100" spans="1:8" x14ac:dyDescent="0.25">
      <c r="A100" s="337"/>
      <c r="B100" s="338"/>
      <c r="C100" s="339"/>
      <c r="D100" s="339"/>
      <c r="E100" s="339"/>
      <c r="F100" s="339"/>
      <c r="G100" s="339"/>
      <c r="H100" s="339"/>
    </row>
    <row r="101" spans="1:8" x14ac:dyDescent="0.25">
      <c r="A101" s="337"/>
      <c r="B101" s="338"/>
      <c r="C101" s="339"/>
      <c r="D101" s="339"/>
      <c r="E101" s="339"/>
      <c r="F101" s="339"/>
      <c r="G101" s="339"/>
      <c r="H101" s="339"/>
    </row>
    <row r="102" spans="1:8" x14ac:dyDescent="0.25">
      <c r="A102" s="337"/>
      <c r="B102" s="338"/>
      <c r="C102" s="339"/>
      <c r="D102" s="339"/>
      <c r="E102" s="339"/>
      <c r="F102" s="339"/>
      <c r="G102" s="339"/>
      <c r="H102" s="339"/>
    </row>
    <row r="103" spans="1:8" x14ac:dyDescent="0.25">
      <c r="A103" s="337"/>
      <c r="B103" s="338"/>
      <c r="C103" s="339"/>
      <c r="D103" s="339"/>
      <c r="E103" s="339"/>
      <c r="F103" s="339"/>
      <c r="G103" s="339"/>
      <c r="H103" s="339"/>
    </row>
    <row r="104" spans="1:8" x14ac:dyDescent="0.25">
      <c r="A104" s="337"/>
      <c r="B104" s="338"/>
      <c r="C104" s="339"/>
      <c r="D104" s="339"/>
      <c r="E104" s="339"/>
      <c r="F104" s="339"/>
      <c r="G104" s="339"/>
      <c r="H104" s="339"/>
    </row>
  </sheetData>
  <mergeCells count="44">
    <mergeCell ref="A64:B64"/>
    <mergeCell ref="A65:B65"/>
    <mergeCell ref="A66:B66"/>
    <mergeCell ref="A67:C67"/>
    <mergeCell ref="A59:A61"/>
    <mergeCell ref="B59:B61"/>
    <mergeCell ref="C59:C61"/>
    <mergeCell ref="U59:U61"/>
    <mergeCell ref="A62:B62"/>
    <mergeCell ref="A63:B63"/>
    <mergeCell ref="C42:C51"/>
    <mergeCell ref="A52:B52"/>
    <mergeCell ref="A53:U53"/>
    <mergeCell ref="A54:A58"/>
    <mergeCell ref="B54:B58"/>
    <mergeCell ref="C54:C58"/>
    <mergeCell ref="D54:D56"/>
    <mergeCell ref="E54:E56"/>
    <mergeCell ref="U54:U56"/>
    <mergeCell ref="A20:A28"/>
    <mergeCell ref="B20:B28"/>
    <mergeCell ref="C20:C28"/>
    <mergeCell ref="U20:U28"/>
    <mergeCell ref="A29:A41"/>
    <mergeCell ref="B29:B41"/>
    <mergeCell ref="C29:C41"/>
    <mergeCell ref="U29:U52"/>
    <mergeCell ref="A42:A51"/>
    <mergeCell ref="B42:B51"/>
    <mergeCell ref="A5:U5"/>
    <mergeCell ref="A6:U6"/>
    <mergeCell ref="A7:A18"/>
    <mergeCell ref="B7:B18"/>
    <mergeCell ref="C7:C18"/>
    <mergeCell ref="U7:U18"/>
    <mergeCell ref="I1:J1"/>
    <mergeCell ref="T1:U1"/>
    <mergeCell ref="A2:U2"/>
    <mergeCell ref="A3:A4"/>
    <mergeCell ref="B3:B4"/>
    <mergeCell ref="C3:C4"/>
    <mergeCell ref="D3:G3"/>
    <mergeCell ref="H3:T3"/>
    <mergeCell ref="U3:U4"/>
  </mergeCells>
  <pageMargins left="0" right="0" top="0" bottom="0" header="0" footer="0"/>
  <pageSetup paperSize="9" scale="4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AE138"/>
  <sheetViews>
    <sheetView view="pageBreakPreview" topLeftCell="B1" zoomScaleNormal="100" zoomScaleSheetLayoutView="100" workbookViewId="0">
      <selection activeCell="M32" sqref="M32"/>
    </sheetView>
  </sheetViews>
  <sheetFormatPr defaultColWidth="9.28515625" defaultRowHeight="15" x14ac:dyDescent="0.2"/>
  <cols>
    <col min="1" max="1" width="18.42578125" style="62" customWidth="1"/>
    <col min="2" max="2" width="24.85546875" style="62" customWidth="1"/>
    <col min="3" max="3" width="30.140625" style="62" customWidth="1"/>
    <col min="4" max="10" width="10.140625" style="62" customWidth="1"/>
    <col min="11" max="11" width="10.140625" style="63" customWidth="1"/>
    <col min="12" max="12" width="11.85546875" style="63" customWidth="1"/>
    <col min="13" max="13" width="12.28515625" style="63" customWidth="1"/>
    <col min="14" max="14" width="12.5703125" style="63" customWidth="1"/>
    <col min="15" max="15" width="12.42578125" style="63" customWidth="1"/>
    <col min="16" max="16" width="16" style="63" customWidth="1"/>
    <col min="17" max="17" width="10" style="62" bestFit="1" customWidth="1"/>
    <col min="18" max="16384" width="9.28515625" style="62"/>
  </cols>
  <sheetData>
    <row r="1" spans="1:31" ht="72" customHeight="1" x14ac:dyDescent="0.25">
      <c r="L1" s="64" t="s">
        <v>35</v>
      </c>
      <c r="M1" s="64"/>
      <c r="N1" s="64"/>
      <c r="O1" s="64"/>
      <c r="P1" s="64"/>
      <c r="Q1" s="65"/>
      <c r="R1" s="65"/>
      <c r="S1" s="65"/>
      <c r="T1" s="57"/>
      <c r="U1" s="57"/>
      <c r="W1" s="65"/>
      <c r="X1" s="65"/>
      <c r="Y1" s="65"/>
      <c r="Z1" s="66" t="s">
        <v>36</v>
      </c>
      <c r="AA1" s="66"/>
      <c r="AB1" s="66"/>
      <c r="AC1" s="66"/>
      <c r="AD1" s="66"/>
      <c r="AE1" s="66"/>
    </row>
    <row r="2" spans="1:31" ht="55.5" customHeight="1" x14ac:dyDescent="0.2">
      <c r="A2" s="67" t="s">
        <v>37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</row>
    <row r="3" spans="1:31" ht="33.75" customHeight="1" x14ac:dyDescent="0.2">
      <c r="A3" s="53" t="s">
        <v>38</v>
      </c>
      <c r="B3" s="34" t="s">
        <v>39</v>
      </c>
      <c r="C3" s="68" t="s">
        <v>40</v>
      </c>
      <c r="D3" s="69" t="s">
        <v>41</v>
      </c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31" ht="43.5" customHeight="1" x14ac:dyDescent="0.2">
      <c r="A4" s="53"/>
      <c r="B4" s="34"/>
      <c r="C4" s="70"/>
      <c r="D4" s="71" t="s">
        <v>42</v>
      </c>
      <c r="E4" s="71" t="s">
        <v>43</v>
      </c>
      <c r="F4" s="71" t="s">
        <v>44</v>
      </c>
      <c r="G4" s="72" t="s">
        <v>45</v>
      </c>
      <c r="H4" s="71" t="s">
        <v>46</v>
      </c>
      <c r="I4" s="71" t="s">
        <v>47</v>
      </c>
      <c r="J4" s="71" t="s">
        <v>48</v>
      </c>
      <c r="K4" s="71" t="s">
        <v>49</v>
      </c>
      <c r="L4" s="71" t="s">
        <v>50</v>
      </c>
      <c r="M4" s="71" t="s">
        <v>51</v>
      </c>
      <c r="N4" s="71" t="s">
        <v>52</v>
      </c>
      <c r="O4" s="71" t="s">
        <v>53</v>
      </c>
      <c r="P4" s="71" t="s">
        <v>11</v>
      </c>
    </row>
    <row r="5" spans="1:31" ht="15.75" customHeight="1" x14ac:dyDescent="0.2">
      <c r="A5" s="42" t="s">
        <v>12</v>
      </c>
      <c r="B5" s="43" t="s">
        <v>13</v>
      </c>
      <c r="C5" s="73" t="s">
        <v>54</v>
      </c>
      <c r="D5" s="74">
        <f t="shared" ref="D5:I5" si="0">D8+D9+D10</f>
        <v>447829.60000000003</v>
      </c>
      <c r="E5" s="74">
        <f t="shared" si="0"/>
        <v>473625.59999999998</v>
      </c>
      <c r="F5" s="74">
        <f t="shared" si="0"/>
        <v>511729.69999999995</v>
      </c>
      <c r="G5" s="75">
        <f t="shared" si="0"/>
        <v>523228.00000000006</v>
      </c>
      <c r="H5" s="75">
        <f>H8+H9+H10</f>
        <v>549349</v>
      </c>
      <c r="I5" s="74">
        <f t="shared" si="0"/>
        <v>614389.6</v>
      </c>
      <c r="J5" s="74">
        <f t="shared" ref="J5:P5" si="1">J8+J9+J10+J7</f>
        <v>635052.30000000005</v>
      </c>
      <c r="K5" s="74">
        <f t="shared" si="1"/>
        <v>730302.39999999991</v>
      </c>
      <c r="L5" s="74">
        <f t="shared" si="1"/>
        <v>859995.30000000016</v>
      </c>
      <c r="M5" s="74">
        <f t="shared" si="1"/>
        <v>866783.1</v>
      </c>
      <c r="N5" s="74">
        <f t="shared" si="1"/>
        <v>804960.79999999993</v>
      </c>
      <c r="O5" s="74">
        <f t="shared" si="1"/>
        <v>805242.3</v>
      </c>
      <c r="P5" s="74">
        <f t="shared" si="1"/>
        <v>7822487.6999999983</v>
      </c>
    </row>
    <row r="6" spans="1:31" ht="15.75" x14ac:dyDescent="0.2">
      <c r="A6" s="44"/>
      <c r="B6" s="45"/>
      <c r="C6" s="76" t="s">
        <v>55</v>
      </c>
      <c r="D6" s="77"/>
      <c r="E6" s="78"/>
      <c r="F6" s="78"/>
      <c r="G6" s="79"/>
      <c r="H6" s="79"/>
      <c r="I6" s="78"/>
      <c r="J6" s="78"/>
      <c r="K6" s="78"/>
      <c r="L6" s="74"/>
      <c r="M6" s="74"/>
      <c r="N6" s="74">
        <f>L6</f>
        <v>0</v>
      </c>
      <c r="O6" s="74">
        <f>M6</f>
        <v>0</v>
      </c>
      <c r="P6" s="74"/>
    </row>
    <row r="7" spans="1:31" ht="15.75" x14ac:dyDescent="0.2">
      <c r="A7" s="44"/>
      <c r="B7" s="45"/>
      <c r="C7" s="80" t="s">
        <v>56</v>
      </c>
      <c r="D7" s="77"/>
      <c r="E7" s="78"/>
      <c r="F7" s="78"/>
      <c r="G7" s="79"/>
      <c r="H7" s="79"/>
      <c r="I7" s="78"/>
      <c r="J7" s="78">
        <f>J18</f>
        <v>12598.599999999999</v>
      </c>
      <c r="K7" s="78">
        <f t="shared" ref="K7:P7" si="2">K18+K29</f>
        <v>26440.1</v>
      </c>
      <c r="L7" s="78">
        <f>L18+L29</f>
        <v>26300.799999999999</v>
      </c>
      <c r="M7" s="78">
        <f t="shared" si="2"/>
        <v>32214</v>
      </c>
      <c r="N7" s="78">
        <f t="shared" si="2"/>
        <v>37614.699999999997</v>
      </c>
      <c r="O7" s="78">
        <f t="shared" si="2"/>
        <v>37265.9</v>
      </c>
      <c r="P7" s="78">
        <f t="shared" si="2"/>
        <v>172434.1</v>
      </c>
    </row>
    <row r="8" spans="1:31" ht="15.75" customHeight="1" x14ac:dyDescent="0.2">
      <c r="A8" s="44"/>
      <c r="B8" s="45"/>
      <c r="C8" s="80" t="s">
        <v>57</v>
      </c>
      <c r="D8" s="74">
        <f t="shared" ref="D8:O10" si="3">D13+D19+D24+D30</f>
        <v>215148.1</v>
      </c>
      <c r="E8" s="74">
        <f t="shared" si="3"/>
        <v>208367.5</v>
      </c>
      <c r="F8" s="74">
        <f t="shared" si="3"/>
        <v>280623.8</v>
      </c>
      <c r="G8" s="75">
        <f t="shared" si="3"/>
        <v>301525.8</v>
      </c>
      <c r="H8" s="75">
        <f t="shared" si="3"/>
        <v>326259.80000000005</v>
      </c>
      <c r="I8" s="74">
        <f t="shared" si="3"/>
        <v>354583.9</v>
      </c>
      <c r="J8" s="74">
        <f t="shared" si="3"/>
        <v>389409.10000000003</v>
      </c>
      <c r="K8" s="74">
        <f t="shared" si="3"/>
        <v>409788</v>
      </c>
      <c r="L8" s="74">
        <f t="shared" si="3"/>
        <v>516969.80000000005</v>
      </c>
      <c r="M8" s="74">
        <f t="shared" si="3"/>
        <v>523576.8</v>
      </c>
      <c r="N8" s="74">
        <f>N13+N19+N24+N30</f>
        <v>469227.49999999994</v>
      </c>
      <c r="O8" s="74">
        <f t="shared" si="3"/>
        <v>469857.5</v>
      </c>
      <c r="P8" s="74">
        <f>SUM(D8:O8)</f>
        <v>4465337.5999999996</v>
      </c>
    </row>
    <row r="9" spans="1:31" ht="15.75" x14ac:dyDescent="0.2">
      <c r="A9" s="44"/>
      <c r="B9" s="45"/>
      <c r="C9" s="80" t="s">
        <v>58</v>
      </c>
      <c r="D9" s="74">
        <f t="shared" si="3"/>
        <v>217161.60000000001</v>
      </c>
      <c r="E9" s="74">
        <f t="shared" si="3"/>
        <v>249957.8</v>
      </c>
      <c r="F9" s="74">
        <f t="shared" si="3"/>
        <v>211534.09999999998</v>
      </c>
      <c r="G9" s="75">
        <f t="shared" si="3"/>
        <v>199302.50000000003</v>
      </c>
      <c r="H9" s="75">
        <f t="shared" si="3"/>
        <v>198036.09999999998</v>
      </c>
      <c r="I9" s="74">
        <f t="shared" si="3"/>
        <v>232969.00000000003</v>
      </c>
      <c r="J9" s="74">
        <f t="shared" si="3"/>
        <v>211201.8</v>
      </c>
      <c r="K9" s="74">
        <f t="shared" si="3"/>
        <v>271205.7</v>
      </c>
      <c r="L9" s="74">
        <f t="shared" si="3"/>
        <v>293078.90000000002</v>
      </c>
      <c r="M9" s="74">
        <f t="shared" si="3"/>
        <v>286255.3</v>
      </c>
      <c r="N9" s="74">
        <f>N14+N20+N25+N31</f>
        <v>274558.8</v>
      </c>
      <c r="O9" s="74">
        <f t="shared" si="3"/>
        <v>274559.09999999998</v>
      </c>
      <c r="P9" s="74">
        <f>SUM(D9:O9)</f>
        <v>2919820.6999999997</v>
      </c>
    </row>
    <row r="10" spans="1:31" ht="15" customHeight="1" x14ac:dyDescent="0.2">
      <c r="A10" s="81"/>
      <c r="B10" s="46"/>
      <c r="C10" s="80" t="s">
        <v>59</v>
      </c>
      <c r="D10" s="74">
        <f t="shared" si="3"/>
        <v>15519.9</v>
      </c>
      <c r="E10" s="74">
        <f t="shared" si="3"/>
        <v>15300.3</v>
      </c>
      <c r="F10" s="74">
        <f t="shared" si="3"/>
        <v>19571.8</v>
      </c>
      <c r="G10" s="75">
        <f t="shared" si="3"/>
        <v>22399.7</v>
      </c>
      <c r="H10" s="75">
        <f t="shared" si="3"/>
        <v>25053.100000000002</v>
      </c>
      <c r="I10" s="74">
        <f t="shared" si="3"/>
        <v>26836.7</v>
      </c>
      <c r="J10" s="74">
        <f t="shared" si="3"/>
        <v>21842.799999999999</v>
      </c>
      <c r="K10" s="74">
        <f>K15+K21+K26+K32</f>
        <v>22868.6</v>
      </c>
      <c r="L10" s="74">
        <f>L15+L21+L26+L32</f>
        <v>23645.8</v>
      </c>
      <c r="M10" s="74">
        <f>M15+M21+M26+M32</f>
        <v>24737.000000000004</v>
      </c>
      <c r="N10" s="74">
        <f>N15+N21+N26+N32</f>
        <v>23559.8</v>
      </c>
      <c r="O10" s="74">
        <f>O15+O21+O26+O32</f>
        <v>23559.8</v>
      </c>
      <c r="P10" s="74">
        <f>P15+P21+P26+P32</f>
        <v>264895.3</v>
      </c>
    </row>
    <row r="11" spans="1:31" ht="15.75" customHeight="1" x14ac:dyDescent="0.2">
      <c r="A11" s="42" t="s">
        <v>60</v>
      </c>
      <c r="B11" s="43" t="s">
        <v>24</v>
      </c>
      <c r="C11" s="73" t="s">
        <v>54</v>
      </c>
      <c r="D11" s="74">
        <f t="shared" ref="D11:P11" si="4">D13+D14+D15</f>
        <v>198091.59999999998</v>
      </c>
      <c r="E11" s="74">
        <f t="shared" si="4"/>
        <v>204824.59999999998</v>
      </c>
      <c r="F11" s="74">
        <f t="shared" si="4"/>
        <v>219030.5</v>
      </c>
      <c r="G11" s="75">
        <f t="shared" si="4"/>
        <v>218633.1</v>
      </c>
      <c r="H11" s="75">
        <f t="shared" si="4"/>
        <v>229336.9</v>
      </c>
      <c r="I11" s="74">
        <f t="shared" si="4"/>
        <v>267495.40000000002</v>
      </c>
      <c r="J11" s="74">
        <f t="shared" si="4"/>
        <v>275550.39999999997</v>
      </c>
      <c r="K11" s="74">
        <f t="shared" si="4"/>
        <v>310856.8</v>
      </c>
      <c r="L11" s="74">
        <f>L13+L14+L15</f>
        <v>356848.4</v>
      </c>
      <c r="M11" s="82">
        <f>M13+M14+M15</f>
        <v>334538.20000000007</v>
      </c>
      <c r="N11" s="74">
        <f t="shared" si="4"/>
        <v>321243</v>
      </c>
      <c r="O11" s="74">
        <f t="shared" si="4"/>
        <v>321243</v>
      </c>
      <c r="P11" s="74">
        <f t="shared" si="4"/>
        <v>3257691.9</v>
      </c>
    </row>
    <row r="12" spans="1:31" ht="15.75" x14ac:dyDescent="0.2">
      <c r="A12" s="44"/>
      <c r="B12" s="45"/>
      <c r="C12" s="76" t="s">
        <v>55</v>
      </c>
      <c r="D12" s="77"/>
      <c r="E12" s="74"/>
      <c r="F12" s="78"/>
      <c r="G12" s="79"/>
      <c r="H12" s="79"/>
      <c r="I12" s="78"/>
      <c r="J12" s="78"/>
      <c r="K12" s="78"/>
      <c r="L12" s="74">
        <f>K12</f>
        <v>0</v>
      </c>
      <c r="M12" s="74"/>
      <c r="N12" s="74">
        <f>L12</f>
        <v>0</v>
      </c>
      <c r="O12" s="74">
        <f>M12</f>
        <v>0</v>
      </c>
      <c r="P12" s="74">
        <f>SUM(D12:M12)</f>
        <v>0</v>
      </c>
    </row>
    <row r="13" spans="1:31" ht="15.75" x14ac:dyDescent="0.2">
      <c r="A13" s="44"/>
      <c r="B13" s="45"/>
      <c r="C13" s="83" t="s">
        <v>61</v>
      </c>
      <c r="D13" s="77">
        <v>92552.9</v>
      </c>
      <c r="E13" s="74">
        <v>81485.8</v>
      </c>
      <c r="F13" s="78">
        <v>116158.7</v>
      </c>
      <c r="G13" s="79">
        <v>122752.3</v>
      </c>
      <c r="H13" s="79">
        <v>129296.8</v>
      </c>
      <c r="I13" s="78">
        <v>147632</v>
      </c>
      <c r="J13" s="78">
        <v>168234.1</v>
      </c>
      <c r="K13" s="78">
        <v>174939.2</v>
      </c>
      <c r="L13" s="78">
        <v>213384.2</v>
      </c>
      <c r="M13" s="78">
        <v>195012.7</v>
      </c>
      <c r="N13" s="74">
        <v>185389.8</v>
      </c>
      <c r="O13" s="74">
        <v>185389.8</v>
      </c>
      <c r="P13" s="74">
        <f>SUM(D13:O13)</f>
        <v>1812228.3</v>
      </c>
    </row>
    <row r="14" spans="1:31" ht="15.75" x14ac:dyDescent="0.2">
      <c r="A14" s="44"/>
      <c r="B14" s="45"/>
      <c r="C14" s="83" t="s">
        <v>62</v>
      </c>
      <c r="D14" s="77">
        <v>92376.4</v>
      </c>
      <c r="E14" s="74">
        <v>110895</v>
      </c>
      <c r="F14" s="74">
        <v>86284.2</v>
      </c>
      <c r="G14" s="75">
        <v>76465.3</v>
      </c>
      <c r="H14" s="75">
        <v>78788.7</v>
      </c>
      <c r="I14" s="74">
        <v>99489.9</v>
      </c>
      <c r="J14" s="74">
        <v>92286.7</v>
      </c>
      <c r="K14" s="74">
        <v>115743.3</v>
      </c>
      <c r="L14" s="74">
        <v>124018.6</v>
      </c>
      <c r="M14" s="84">
        <v>119134.6</v>
      </c>
      <c r="N14" s="74">
        <v>114635.7</v>
      </c>
      <c r="O14" s="74">
        <f>N14</f>
        <v>114635.7</v>
      </c>
      <c r="P14" s="74">
        <f t="shared" ref="P14:P21" si="5">SUM(D14:O14)</f>
        <v>1224754.0999999999</v>
      </c>
    </row>
    <row r="15" spans="1:31" ht="31.5" x14ac:dyDescent="0.2">
      <c r="A15" s="81"/>
      <c r="B15" s="46"/>
      <c r="C15" s="83" t="s">
        <v>63</v>
      </c>
      <c r="D15" s="77">
        <v>13162.3</v>
      </c>
      <c r="E15" s="74">
        <v>12443.8</v>
      </c>
      <c r="F15" s="78">
        <v>16587.599999999999</v>
      </c>
      <c r="G15" s="79">
        <v>19415.5</v>
      </c>
      <c r="H15" s="79">
        <v>21251.4</v>
      </c>
      <c r="I15" s="78">
        <v>20373.5</v>
      </c>
      <c r="J15" s="78">
        <v>15029.6</v>
      </c>
      <c r="K15" s="78">
        <v>20174.3</v>
      </c>
      <c r="L15" s="78">
        <v>19445.599999999999</v>
      </c>
      <c r="M15" s="78">
        <v>20390.900000000001</v>
      </c>
      <c r="N15" s="74">
        <v>21217.5</v>
      </c>
      <c r="O15" s="74">
        <v>21217.5</v>
      </c>
      <c r="P15" s="74">
        <f t="shared" si="5"/>
        <v>220709.5</v>
      </c>
    </row>
    <row r="16" spans="1:31" ht="15.75" customHeight="1" x14ac:dyDescent="0.2">
      <c r="A16" s="42" t="s">
        <v>64</v>
      </c>
      <c r="B16" s="43" t="s">
        <v>28</v>
      </c>
      <c r="C16" s="73" t="s">
        <v>54</v>
      </c>
      <c r="D16" s="74">
        <f t="shared" ref="D16:I16" si="6">D19+D20+D21</f>
        <v>214621.9</v>
      </c>
      <c r="E16" s="74">
        <f t="shared" si="6"/>
        <v>231479.09999999998</v>
      </c>
      <c r="F16" s="74">
        <f t="shared" si="6"/>
        <v>252889.59999999998</v>
      </c>
      <c r="G16" s="75">
        <f t="shared" si="6"/>
        <v>262736.60000000003</v>
      </c>
      <c r="H16" s="75">
        <f t="shared" si="6"/>
        <v>275850</v>
      </c>
      <c r="I16" s="74">
        <f t="shared" si="6"/>
        <v>294091.2</v>
      </c>
      <c r="J16" s="74">
        <f>J19+J20+J21+J18</f>
        <v>299894.2</v>
      </c>
      <c r="K16" s="74">
        <f>K19+K20+K21+K18</f>
        <v>353643.99999999994</v>
      </c>
      <c r="L16" s="74">
        <f>L19+L20+L21+L18</f>
        <v>407487.89999999997</v>
      </c>
      <c r="M16" s="82">
        <f>M18+M19+M20+M21</f>
        <v>433812.7</v>
      </c>
      <c r="N16" s="74">
        <f>N18+N19+N20+N21</f>
        <v>395171.3</v>
      </c>
      <c r="O16" s="74">
        <f>O18+O19+O20+O21</f>
        <v>395452.8</v>
      </c>
      <c r="P16" s="74">
        <f t="shared" si="5"/>
        <v>3817131.2999999993</v>
      </c>
    </row>
    <row r="17" spans="1:16" ht="15.75" x14ac:dyDescent="0.2">
      <c r="A17" s="44"/>
      <c r="B17" s="45"/>
      <c r="C17" s="76" t="s">
        <v>55</v>
      </c>
      <c r="D17" s="77"/>
      <c r="E17" s="78"/>
      <c r="F17" s="78"/>
      <c r="G17" s="79"/>
      <c r="H17" s="79"/>
      <c r="I17" s="78"/>
      <c r="J17" s="78"/>
      <c r="K17" s="78"/>
      <c r="L17" s="74">
        <f>K17</f>
        <v>0</v>
      </c>
      <c r="M17" s="74"/>
      <c r="N17" s="74">
        <f>L17</f>
        <v>0</v>
      </c>
      <c r="O17" s="74">
        <f>M17</f>
        <v>0</v>
      </c>
      <c r="P17" s="74">
        <f t="shared" si="5"/>
        <v>0</v>
      </c>
    </row>
    <row r="18" spans="1:16" ht="15.75" x14ac:dyDescent="0.2">
      <c r="A18" s="44"/>
      <c r="B18" s="45"/>
      <c r="C18" s="80" t="s">
        <v>56</v>
      </c>
      <c r="D18" s="77"/>
      <c r="E18" s="78"/>
      <c r="F18" s="78"/>
      <c r="G18" s="79"/>
      <c r="H18" s="79"/>
      <c r="I18" s="78"/>
      <c r="J18" s="78">
        <f>2668.9+5195+4734.7</f>
        <v>12598.599999999999</v>
      </c>
      <c r="K18" s="78">
        <v>26440.1</v>
      </c>
      <c r="L18" s="74">
        <v>25380.799999999999</v>
      </c>
      <c r="M18" s="74">
        <v>27239.4</v>
      </c>
      <c r="N18" s="74">
        <v>28928.799999999999</v>
      </c>
      <c r="O18" s="74">
        <v>28824.7</v>
      </c>
      <c r="P18" s="74">
        <f t="shared" si="5"/>
        <v>149412.4</v>
      </c>
    </row>
    <row r="19" spans="1:16" ht="15.75" x14ac:dyDescent="0.2">
      <c r="A19" s="44"/>
      <c r="B19" s="45"/>
      <c r="C19" s="73" t="s">
        <v>65</v>
      </c>
      <c r="D19" s="77">
        <v>109406.9</v>
      </c>
      <c r="E19" s="74">
        <v>113565.8</v>
      </c>
      <c r="F19" s="78">
        <v>149314.1</v>
      </c>
      <c r="G19" s="79">
        <v>163921.20000000001</v>
      </c>
      <c r="H19" s="79">
        <v>178896.1</v>
      </c>
      <c r="I19" s="78">
        <v>189252.9</v>
      </c>
      <c r="J19" s="78">
        <v>201386.3</v>
      </c>
      <c r="K19" s="78">
        <v>220168.3</v>
      </c>
      <c r="L19" s="74">
        <v>265976.2</v>
      </c>
      <c r="M19" s="82">
        <v>294468.7</v>
      </c>
      <c r="N19" s="74">
        <v>260383.9</v>
      </c>
      <c r="O19" s="74">
        <v>260769.2</v>
      </c>
      <c r="P19" s="74">
        <f t="shared" si="5"/>
        <v>2407509.6</v>
      </c>
    </row>
    <row r="20" spans="1:16" ht="15.75" x14ac:dyDescent="0.2">
      <c r="A20" s="44"/>
      <c r="B20" s="45"/>
      <c r="C20" s="73" t="s">
        <v>66</v>
      </c>
      <c r="D20" s="77">
        <v>103390.39999999999</v>
      </c>
      <c r="E20" s="74">
        <v>115762</v>
      </c>
      <c r="F20" s="74">
        <v>101282.7</v>
      </c>
      <c r="G20" s="75">
        <v>96522.6</v>
      </c>
      <c r="H20" s="75">
        <v>93843.6</v>
      </c>
      <c r="I20" s="74">
        <v>99156.3</v>
      </c>
      <c r="J20" s="74">
        <v>79096.100000000006</v>
      </c>
      <c r="K20" s="74">
        <v>104341.3</v>
      </c>
      <c r="L20" s="74">
        <v>112868.9</v>
      </c>
      <c r="M20" s="82">
        <v>109083.9</v>
      </c>
      <c r="N20" s="74">
        <v>103516.3</v>
      </c>
      <c r="O20" s="74">
        <v>103516.6</v>
      </c>
      <c r="P20" s="74">
        <f t="shared" si="5"/>
        <v>1222380.7000000002</v>
      </c>
    </row>
    <row r="21" spans="1:16" ht="15.75" x14ac:dyDescent="0.2">
      <c r="A21" s="81"/>
      <c r="B21" s="46"/>
      <c r="C21" s="73" t="s">
        <v>67</v>
      </c>
      <c r="D21" s="77">
        <v>1824.6</v>
      </c>
      <c r="E21" s="74">
        <v>2151.3000000000002</v>
      </c>
      <c r="F21" s="78">
        <v>2292.8000000000002</v>
      </c>
      <c r="G21" s="79">
        <v>2292.8000000000002</v>
      </c>
      <c r="H21" s="79">
        <v>3110.3</v>
      </c>
      <c r="I21" s="78">
        <v>5682</v>
      </c>
      <c r="J21" s="78">
        <v>6813.2</v>
      </c>
      <c r="K21" s="78">
        <v>2694.3</v>
      </c>
      <c r="L21" s="74">
        <v>3262</v>
      </c>
      <c r="M21" s="74">
        <v>3020.7</v>
      </c>
      <c r="N21" s="74">
        <v>2342.3000000000002</v>
      </c>
      <c r="O21" s="74">
        <v>2342.3000000000002</v>
      </c>
      <c r="P21" s="74">
        <f t="shared" si="5"/>
        <v>37828.600000000006</v>
      </c>
    </row>
    <row r="22" spans="1:16" ht="15.75" customHeight="1" x14ac:dyDescent="0.2">
      <c r="A22" s="42" t="s">
        <v>29</v>
      </c>
      <c r="B22" s="43" t="s">
        <v>30</v>
      </c>
      <c r="C22" s="73" t="s">
        <v>54</v>
      </c>
      <c r="D22" s="74">
        <f t="shared" ref="D22:I22" si="7">D24+D25+D26</f>
        <v>6990.7000000000007</v>
      </c>
      <c r="E22" s="74">
        <f t="shared" si="7"/>
        <v>7764.9</v>
      </c>
      <c r="F22" s="74">
        <f t="shared" si="7"/>
        <v>7414.4</v>
      </c>
      <c r="G22" s="75">
        <f t="shared" si="7"/>
        <v>8058.2999999999993</v>
      </c>
      <c r="H22" s="75">
        <f>H24+H25+H26</f>
        <v>7980.7999999999993</v>
      </c>
      <c r="I22" s="74">
        <f t="shared" si="7"/>
        <v>8394.1</v>
      </c>
      <c r="J22" s="74">
        <f>J24+J25+J26</f>
        <v>0</v>
      </c>
      <c r="K22" s="74">
        <f>K24+K25+K26</f>
        <v>9059.7000000000007</v>
      </c>
      <c r="L22" s="74">
        <f>L24+L25+L26</f>
        <v>8995.6</v>
      </c>
      <c r="M22" s="82">
        <f>M24+M25+M26</f>
        <v>11145.5</v>
      </c>
      <c r="N22" s="74">
        <f>N24+N25+N26</f>
        <v>9617.1</v>
      </c>
      <c r="O22" s="74">
        <f>O24</f>
        <v>9617.1</v>
      </c>
      <c r="P22" s="74">
        <f>SUM(D22:O22)</f>
        <v>95038.200000000012</v>
      </c>
    </row>
    <row r="23" spans="1:16" ht="15.75" x14ac:dyDescent="0.2">
      <c r="A23" s="44"/>
      <c r="B23" s="45"/>
      <c r="C23" s="76" t="s">
        <v>55</v>
      </c>
      <c r="D23" s="77"/>
      <c r="E23" s="74"/>
      <c r="F23" s="78"/>
      <c r="G23" s="79"/>
      <c r="H23" s="79"/>
      <c r="I23" s="78"/>
      <c r="J23" s="78"/>
      <c r="K23" s="78"/>
      <c r="L23" s="74">
        <f>K23</f>
        <v>0</v>
      </c>
      <c r="M23" s="74"/>
      <c r="N23" s="74">
        <f>L23</f>
        <v>0</v>
      </c>
      <c r="O23" s="74">
        <f>M23</f>
        <v>0</v>
      </c>
      <c r="P23" s="74">
        <f t="shared" ref="P23:P32" si="8">SUM(D23:O23)</f>
        <v>0</v>
      </c>
    </row>
    <row r="24" spans="1:16" ht="15.75" x14ac:dyDescent="0.2">
      <c r="A24" s="44"/>
      <c r="B24" s="45"/>
      <c r="C24" s="80" t="s">
        <v>57</v>
      </c>
      <c r="D24" s="77">
        <v>4599.6000000000004</v>
      </c>
      <c r="E24" s="74">
        <v>4788.3999999999996</v>
      </c>
      <c r="F24" s="78">
        <v>4560.6000000000004</v>
      </c>
      <c r="G24" s="79">
        <v>4565.7</v>
      </c>
      <c r="H24" s="79">
        <v>5116.3999999999996</v>
      </c>
      <c r="I24" s="78">
        <v>5258.7</v>
      </c>
      <c r="J24" s="78">
        <v>0</v>
      </c>
      <c r="K24" s="78">
        <v>6598.4</v>
      </c>
      <c r="L24" s="78">
        <f>'[2]Мероприятия пп 3'!$P$36</f>
        <v>8057.4</v>
      </c>
      <c r="M24" s="78">
        <f>'[2]Мероприятия пп 3'!$Q$36</f>
        <v>9820.1</v>
      </c>
      <c r="N24" s="74">
        <v>9617.1</v>
      </c>
      <c r="O24" s="74">
        <f>'[2]Мероприятия пп 3'!$R$36</f>
        <v>9617.1</v>
      </c>
      <c r="P24" s="74">
        <f t="shared" si="8"/>
        <v>72599.5</v>
      </c>
    </row>
    <row r="25" spans="1:16" ht="15.75" x14ac:dyDescent="0.2">
      <c r="A25" s="44"/>
      <c r="B25" s="45"/>
      <c r="C25" s="80" t="s">
        <v>58</v>
      </c>
      <c r="D25" s="77">
        <v>1858.1</v>
      </c>
      <c r="E25" s="74">
        <v>2271.3000000000002</v>
      </c>
      <c r="F25" s="74">
        <v>2162.4</v>
      </c>
      <c r="G25" s="75">
        <v>2801.2</v>
      </c>
      <c r="H25" s="75">
        <v>2173</v>
      </c>
      <c r="I25" s="74">
        <v>2354.1999999999998</v>
      </c>
      <c r="J25" s="74">
        <v>0</v>
      </c>
      <c r="K25" s="74">
        <v>2461.3000000000002</v>
      </c>
      <c r="L25" s="74">
        <v>0</v>
      </c>
      <c r="M25" s="78">
        <v>0</v>
      </c>
      <c r="N25" s="74">
        <v>0</v>
      </c>
      <c r="O25" s="74">
        <v>0</v>
      </c>
      <c r="P25" s="74">
        <f>SUM(D25:O25)</f>
        <v>16081.5</v>
      </c>
    </row>
    <row r="26" spans="1:16" ht="31.5" x14ac:dyDescent="0.2">
      <c r="A26" s="81"/>
      <c r="B26" s="46"/>
      <c r="C26" s="80" t="s">
        <v>59</v>
      </c>
      <c r="D26" s="77">
        <v>533</v>
      </c>
      <c r="E26" s="74">
        <v>705.2</v>
      </c>
      <c r="F26" s="78">
        <v>691.4</v>
      </c>
      <c r="G26" s="79">
        <v>691.4</v>
      </c>
      <c r="H26" s="79">
        <v>691.4</v>
      </c>
      <c r="I26" s="78">
        <v>781.2</v>
      </c>
      <c r="J26" s="78">
        <v>0</v>
      </c>
      <c r="K26" s="78">
        <v>0</v>
      </c>
      <c r="L26" s="78">
        <v>938.2</v>
      </c>
      <c r="M26" s="84">
        <v>1325.4</v>
      </c>
      <c r="N26" s="74">
        <v>0</v>
      </c>
      <c r="O26" s="74">
        <v>0</v>
      </c>
      <c r="P26" s="74">
        <f>SUM(D26:O26)</f>
        <v>6357.2000000000007</v>
      </c>
    </row>
    <row r="27" spans="1:16" ht="15.75" customHeight="1" x14ac:dyDescent="0.2">
      <c r="A27" s="42" t="s">
        <v>31</v>
      </c>
      <c r="B27" s="43" t="s">
        <v>32</v>
      </c>
      <c r="C27" s="73" t="s">
        <v>54</v>
      </c>
      <c r="D27" s="74">
        <f t="shared" ref="D27:I27" si="9">D30+D31+D32</f>
        <v>28125.4</v>
      </c>
      <c r="E27" s="74">
        <f t="shared" si="9"/>
        <v>29557</v>
      </c>
      <c r="F27" s="74">
        <f t="shared" si="9"/>
        <v>32395.199999999997</v>
      </c>
      <c r="G27" s="75">
        <f t="shared" si="9"/>
        <v>33800</v>
      </c>
      <c r="H27" s="75">
        <f t="shared" si="9"/>
        <v>36181.300000000003</v>
      </c>
      <c r="I27" s="74">
        <f t="shared" si="9"/>
        <v>44408.899999999994</v>
      </c>
      <c r="J27" s="74">
        <f>J30+J31+J32</f>
        <v>59607.7</v>
      </c>
      <c r="K27" s="74">
        <f>K30+K31+K32+K29</f>
        <v>56741.899999999994</v>
      </c>
      <c r="L27" s="74">
        <f>L28+L30+L31+L29</f>
        <v>86663.4</v>
      </c>
      <c r="M27" s="82">
        <f>M28+M30+M31+M29</f>
        <v>87286.700000000012</v>
      </c>
      <c r="N27" s="74">
        <f>N28+N30+N31+N29</f>
        <v>78929.399999999994</v>
      </c>
      <c r="O27" s="74">
        <f>O28+O30+O31+O29</f>
        <v>78929.399999999994</v>
      </c>
      <c r="P27" s="74">
        <f t="shared" si="8"/>
        <v>652626.30000000005</v>
      </c>
    </row>
    <row r="28" spans="1:16" ht="15.75" x14ac:dyDescent="0.2">
      <c r="A28" s="44"/>
      <c r="B28" s="45"/>
      <c r="C28" s="76" t="s">
        <v>55</v>
      </c>
      <c r="D28" s="77"/>
      <c r="E28" s="74"/>
      <c r="F28" s="78"/>
      <c r="G28" s="79"/>
      <c r="H28" s="79"/>
      <c r="I28" s="78"/>
      <c r="J28" s="78"/>
      <c r="K28" s="78"/>
      <c r="L28" s="74"/>
      <c r="M28" s="74"/>
      <c r="N28" s="74">
        <f>L28</f>
        <v>0</v>
      </c>
      <c r="O28" s="74">
        <f>M28</f>
        <v>0</v>
      </c>
      <c r="P28" s="74">
        <f t="shared" si="8"/>
        <v>0</v>
      </c>
    </row>
    <row r="29" spans="1:16" ht="15.75" x14ac:dyDescent="0.2">
      <c r="A29" s="44"/>
      <c r="B29" s="45"/>
      <c r="C29" s="80" t="s">
        <v>56</v>
      </c>
      <c r="D29" s="77"/>
      <c r="E29" s="74"/>
      <c r="F29" s="78"/>
      <c r="G29" s="79"/>
      <c r="H29" s="79"/>
      <c r="I29" s="78"/>
      <c r="J29" s="78"/>
      <c r="K29" s="78">
        <f>3555.7-3473.3-82.4</f>
        <v>-3.694822225952521E-13</v>
      </c>
      <c r="L29" s="74">
        <v>920</v>
      </c>
      <c r="M29" s="74">
        <v>4974.6000000000004</v>
      </c>
      <c r="N29" s="74">
        <v>8685.9</v>
      </c>
      <c r="O29" s="74">
        <v>8441.2000000000007</v>
      </c>
      <c r="P29" s="74">
        <f t="shared" si="8"/>
        <v>23021.7</v>
      </c>
    </row>
    <row r="30" spans="1:16" ht="15.75" x14ac:dyDescent="0.2">
      <c r="A30" s="44"/>
      <c r="B30" s="45"/>
      <c r="C30" s="80" t="s">
        <v>57</v>
      </c>
      <c r="D30" s="77">
        <v>8588.7000000000007</v>
      </c>
      <c r="E30" s="74">
        <v>8527.5</v>
      </c>
      <c r="F30" s="78">
        <v>10590.4</v>
      </c>
      <c r="G30" s="79">
        <v>10286.6</v>
      </c>
      <c r="H30" s="79">
        <v>12950.5</v>
      </c>
      <c r="I30" s="78">
        <v>12440.3</v>
      </c>
      <c r="J30" s="78">
        <v>19788.7</v>
      </c>
      <c r="K30" s="78">
        <v>8082.1</v>
      </c>
      <c r="L30" s="74">
        <v>29552</v>
      </c>
      <c r="M30" s="82">
        <v>24275.3</v>
      </c>
      <c r="N30" s="74">
        <v>13836.7</v>
      </c>
      <c r="O30" s="74">
        <v>14081.4</v>
      </c>
      <c r="P30" s="74">
        <f t="shared" si="8"/>
        <v>173000.2</v>
      </c>
    </row>
    <row r="31" spans="1:16" ht="15.75" x14ac:dyDescent="0.2">
      <c r="A31" s="44"/>
      <c r="B31" s="45"/>
      <c r="C31" s="80" t="s">
        <v>58</v>
      </c>
      <c r="D31" s="77">
        <v>19536.7</v>
      </c>
      <c r="E31" s="74">
        <v>21029.5</v>
      </c>
      <c r="F31" s="74">
        <v>21804.799999999999</v>
      </c>
      <c r="G31" s="75">
        <v>23513.4</v>
      </c>
      <c r="H31" s="75">
        <v>23230.799999999999</v>
      </c>
      <c r="I31" s="74">
        <v>31968.6</v>
      </c>
      <c r="J31" s="74">
        <v>39819</v>
      </c>
      <c r="K31" s="74">
        <f>26618.3+22041.3+0.2</f>
        <v>48659.799999999996</v>
      </c>
      <c r="L31" s="74">
        <v>56191.4</v>
      </c>
      <c r="M31" s="74">
        <v>58036.800000000003</v>
      </c>
      <c r="N31" s="74">
        <v>56406.8</v>
      </c>
      <c r="O31" s="74">
        <v>56406.8</v>
      </c>
      <c r="P31" s="74">
        <f t="shared" si="8"/>
        <v>456604.39999999997</v>
      </c>
    </row>
    <row r="32" spans="1:16" ht="15" customHeight="1" x14ac:dyDescent="0.2">
      <c r="A32" s="81"/>
      <c r="B32" s="46"/>
      <c r="C32" s="80" t="s">
        <v>59</v>
      </c>
      <c r="D32" s="77">
        <v>0</v>
      </c>
      <c r="E32" s="74">
        <v>0</v>
      </c>
      <c r="F32" s="78">
        <v>0</v>
      </c>
      <c r="G32" s="79">
        <v>0</v>
      </c>
      <c r="H32" s="79">
        <v>0</v>
      </c>
      <c r="I32" s="78">
        <v>0</v>
      </c>
      <c r="J32" s="78">
        <v>0</v>
      </c>
      <c r="K32" s="78">
        <v>0</v>
      </c>
      <c r="L32" s="74">
        <f>K32</f>
        <v>0</v>
      </c>
      <c r="M32" s="74">
        <f>L32</f>
        <v>0</v>
      </c>
      <c r="N32" s="74">
        <f>L32</f>
        <v>0</v>
      </c>
      <c r="O32" s="74">
        <f>M32</f>
        <v>0</v>
      </c>
      <c r="P32" s="74">
        <f t="shared" si="8"/>
        <v>0</v>
      </c>
    </row>
    <row r="33" spans="1:17" s="57" customFormat="1" ht="30.75" customHeight="1" x14ac:dyDescent="0.25">
      <c r="A33" s="85" t="s">
        <v>33</v>
      </c>
      <c r="B33" s="85"/>
      <c r="C33" s="86"/>
      <c r="D33" s="86"/>
      <c r="E33" s="87"/>
      <c r="F33" s="58"/>
      <c r="G33" s="88" t="s">
        <v>34</v>
      </c>
      <c r="H33" s="88"/>
      <c r="I33" s="88"/>
      <c r="J33" s="88"/>
      <c r="K33" s="88"/>
      <c r="L33" s="88"/>
      <c r="M33" s="88"/>
      <c r="N33" s="88"/>
      <c r="O33" s="88"/>
      <c r="P33" s="88"/>
      <c r="Q33" s="89"/>
    </row>
    <row r="34" spans="1:17" x14ac:dyDescent="0.2">
      <c r="D34" s="90"/>
      <c r="E34" s="90"/>
      <c r="F34" s="90"/>
      <c r="G34" s="90"/>
      <c r="H34" s="90"/>
      <c r="I34" s="90"/>
      <c r="J34" s="90"/>
      <c r="K34" s="90"/>
      <c r="L34" s="91"/>
      <c r="M34" s="90"/>
      <c r="N34" s="90"/>
      <c r="O34" s="90"/>
    </row>
    <row r="35" spans="1:17" x14ac:dyDescent="0.2">
      <c r="D35" s="90"/>
      <c r="E35" s="90"/>
      <c r="F35" s="90"/>
      <c r="G35" s="90"/>
      <c r="H35" s="90"/>
      <c r="I35" s="90"/>
      <c r="J35" s="90"/>
      <c r="K35" s="90"/>
      <c r="L35" s="91"/>
      <c r="M35" s="90"/>
      <c r="N35" s="90"/>
      <c r="O35" s="90"/>
    </row>
    <row r="138" spans="19:19" ht="105" customHeight="1" x14ac:dyDescent="0.25">
      <c r="S138" s="57"/>
    </row>
  </sheetData>
  <mergeCells count="18">
    <mergeCell ref="A22:A26"/>
    <mergeCell ref="B22:B26"/>
    <mergeCell ref="A27:A32"/>
    <mergeCell ref="B27:B32"/>
    <mergeCell ref="G33:P33"/>
    <mergeCell ref="A5:A10"/>
    <mergeCell ref="B5:B10"/>
    <mergeCell ref="A11:A15"/>
    <mergeCell ref="B11:B15"/>
    <mergeCell ref="A16:A21"/>
    <mergeCell ref="B16:B21"/>
    <mergeCell ref="L1:P1"/>
    <mergeCell ref="Z1:AE1"/>
    <mergeCell ref="A2:P2"/>
    <mergeCell ref="A3:A4"/>
    <mergeCell ref="B3:B4"/>
    <mergeCell ref="C3:C4"/>
    <mergeCell ref="D3:P3"/>
  </mergeCells>
  <printOptions horizontalCentered="1"/>
  <pageMargins left="0.15748031496062992" right="0.15748031496062992" top="0.78740157480314965" bottom="0" header="0.31496062992125984" footer="0.31496062992125984"/>
  <pageSetup paperSize="9" scale="67" orientation="landscape" useFirstPageNumber="1" r:id="rId1"/>
  <headerFooter differentFirst="1">
    <oddHeader>&amp;C&amp;P</oddHeader>
  </headerFooter>
  <rowBreaks count="1" manualBreakCount="1">
    <brk id="21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5"/>
  <sheetViews>
    <sheetView view="pageBreakPreview" topLeftCell="G13" zoomScaleNormal="100" zoomScaleSheetLayoutView="100" workbookViewId="0">
      <selection activeCell="W46" sqref="W46"/>
    </sheetView>
  </sheetViews>
  <sheetFormatPr defaultRowHeight="15.75" x14ac:dyDescent="0.25"/>
  <cols>
    <col min="1" max="1" width="46.42578125" style="57" customWidth="1"/>
    <col min="2" max="13" width="9.140625" style="57" customWidth="1"/>
    <col min="14" max="14" width="10.28515625" style="57" customWidth="1"/>
    <col min="15" max="15" width="9.5703125" style="57" customWidth="1"/>
    <col min="16" max="16" width="10.140625" style="57" customWidth="1"/>
    <col min="17" max="19" width="10.7109375" style="57" customWidth="1"/>
    <col min="20" max="20" width="11.5703125" style="57" customWidth="1"/>
    <col min="21" max="21" width="12.85546875" style="57" customWidth="1"/>
    <col min="22" max="22" width="11" style="58" customWidth="1"/>
    <col min="23" max="25" width="12.28515625" style="57" customWidth="1"/>
    <col min="26" max="26" width="18.5703125" style="57" hidden="1" customWidth="1"/>
    <col min="27" max="27" width="17.7109375" style="57" hidden="1" customWidth="1"/>
    <col min="28" max="28" width="9.140625" style="57" hidden="1" customWidth="1"/>
    <col min="29" max="29" width="13.85546875" style="57" hidden="1" customWidth="1"/>
    <col min="30" max="30" width="9.28515625" style="57" hidden="1" customWidth="1"/>
    <col min="31" max="31" width="19.42578125" style="57" customWidth="1"/>
    <col min="32" max="32" width="9.5703125" style="57" bestFit="1" customWidth="1"/>
    <col min="33" max="33" width="15.42578125" style="57" bestFit="1" customWidth="1"/>
    <col min="34" max="34" width="11.140625" style="57" bestFit="1" customWidth="1"/>
    <col min="35" max="35" width="12.28515625" style="57" customWidth="1"/>
    <col min="36" max="16384" width="9.140625" style="57"/>
  </cols>
  <sheetData>
    <row r="1" spans="1:35" ht="71.25" customHeight="1" x14ac:dyDescent="0.25">
      <c r="N1" s="92" t="s">
        <v>68</v>
      </c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</row>
    <row r="2" spans="1:35" s="95" customFormat="1" ht="34.5" customHeight="1" x14ac:dyDescent="0.2">
      <c r="A2" s="67" t="s">
        <v>69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93"/>
      <c r="O2" s="93"/>
      <c r="P2" s="93"/>
      <c r="Q2" s="93"/>
      <c r="R2" s="93"/>
      <c r="S2" s="93"/>
      <c r="T2" s="93"/>
      <c r="U2" s="93"/>
      <c r="V2" s="94"/>
    </row>
    <row r="3" spans="1:35" ht="35.25" customHeight="1" x14ac:dyDescent="0.25">
      <c r="A3" s="53" t="s">
        <v>70</v>
      </c>
      <c r="B3" s="96" t="s">
        <v>71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  <c r="N3" s="53" t="s">
        <v>72</v>
      </c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</row>
    <row r="4" spans="1:35" ht="31.5" x14ac:dyDescent="0.25">
      <c r="A4" s="53"/>
      <c r="B4" s="12" t="s">
        <v>42</v>
      </c>
      <c r="C4" s="12" t="s">
        <v>43</v>
      </c>
      <c r="D4" s="12" t="s">
        <v>44</v>
      </c>
      <c r="E4" s="12" t="s">
        <v>45</v>
      </c>
      <c r="F4" s="12" t="s">
        <v>46</v>
      </c>
      <c r="G4" s="12" t="s">
        <v>47</v>
      </c>
      <c r="H4" s="12" t="s">
        <v>48</v>
      </c>
      <c r="I4" s="12" t="s">
        <v>49</v>
      </c>
      <c r="J4" s="12" t="s">
        <v>50</v>
      </c>
      <c r="K4" s="12" t="s">
        <v>51</v>
      </c>
      <c r="L4" s="12" t="s">
        <v>52</v>
      </c>
      <c r="M4" s="12" t="s">
        <v>53</v>
      </c>
      <c r="N4" s="12" t="s">
        <v>42</v>
      </c>
      <c r="O4" s="12" t="s">
        <v>43</v>
      </c>
      <c r="P4" s="12" t="s">
        <v>44</v>
      </c>
      <c r="Q4" s="12" t="s">
        <v>45</v>
      </c>
      <c r="R4" s="12" t="s">
        <v>46</v>
      </c>
      <c r="S4" s="12" t="s">
        <v>47</v>
      </c>
      <c r="T4" s="12" t="s">
        <v>48</v>
      </c>
      <c r="U4" s="12" t="s">
        <v>49</v>
      </c>
      <c r="V4" s="13" t="s">
        <v>50</v>
      </c>
      <c r="W4" s="12" t="s">
        <v>51</v>
      </c>
      <c r="X4" s="12" t="s">
        <v>52</v>
      </c>
      <c r="Y4" s="12" t="s">
        <v>53</v>
      </c>
    </row>
    <row r="5" spans="1:35" x14ac:dyDescent="0.25">
      <c r="A5" s="99" t="s">
        <v>73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1"/>
    </row>
    <row r="6" spans="1:35" x14ac:dyDescent="0.25">
      <c r="A6" s="38" t="s">
        <v>74</v>
      </c>
      <c r="B6" s="102" t="s">
        <v>75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4"/>
    </row>
    <row r="7" spans="1:35" ht="15.75" customHeight="1" x14ac:dyDescent="0.25">
      <c r="A7" s="105" t="s">
        <v>76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7"/>
    </row>
    <row r="8" spans="1:35" ht="31.5" x14ac:dyDescent="0.25">
      <c r="A8" s="31" t="s">
        <v>77</v>
      </c>
      <c r="B8" s="35">
        <v>1264</v>
      </c>
      <c r="C8" s="35">
        <v>1687</v>
      </c>
      <c r="D8" s="35">
        <v>1731</v>
      </c>
      <c r="E8" s="35">
        <v>1673</v>
      </c>
      <c r="F8" s="35">
        <v>1753</v>
      </c>
      <c r="G8" s="35">
        <v>1753</v>
      </c>
      <c r="H8" s="35">
        <f>(1741+1617)/2</f>
        <v>1679</v>
      </c>
      <c r="I8" s="35">
        <v>1617</v>
      </c>
      <c r="J8" s="35">
        <v>1489</v>
      </c>
      <c r="K8" s="35">
        <v>1489</v>
      </c>
      <c r="L8" s="35">
        <v>1489</v>
      </c>
      <c r="M8" s="35">
        <v>1489</v>
      </c>
      <c r="N8" s="108">
        <v>110039.9</v>
      </c>
      <c r="O8" s="35">
        <v>115982.1</v>
      </c>
      <c r="P8" s="108">
        <v>189224.3</v>
      </c>
      <c r="Q8" s="108">
        <f>165397.3+24524.8</f>
        <v>189922.09999999998</v>
      </c>
      <c r="R8" s="108">
        <v>229336.9</v>
      </c>
      <c r="S8" s="108">
        <v>267495.40000000002</v>
      </c>
      <c r="T8" s="108">
        <v>275550.40000000002</v>
      </c>
      <c r="U8" s="108">
        <v>310856.8</v>
      </c>
      <c r="V8" s="109">
        <v>356848.4</v>
      </c>
      <c r="W8" s="110">
        <v>304323.5</v>
      </c>
      <c r="X8" s="109">
        <v>291076.7</v>
      </c>
      <c r="Y8" s="109">
        <v>291076.7</v>
      </c>
      <c r="AE8" s="111" t="s">
        <v>78</v>
      </c>
      <c r="AI8" s="57">
        <v>2023</v>
      </c>
    </row>
    <row r="9" spans="1:35" ht="18.600000000000001" customHeight="1" x14ac:dyDescent="0.25">
      <c r="A9" s="99" t="s">
        <v>79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1"/>
      <c r="AE9" s="111"/>
    </row>
    <row r="10" spans="1:35" x14ac:dyDescent="0.25">
      <c r="A10" s="38" t="s">
        <v>74</v>
      </c>
      <c r="B10" s="102" t="s">
        <v>80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4"/>
      <c r="AE10" s="111"/>
    </row>
    <row r="11" spans="1:35" ht="15.75" customHeight="1" x14ac:dyDescent="0.25">
      <c r="A11" s="105" t="s">
        <v>81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7"/>
      <c r="AB11" s="57">
        <v>2021</v>
      </c>
      <c r="AC11" s="112">
        <f>U12+U16+U20</f>
        <v>291978.10000000003</v>
      </c>
      <c r="AE11" s="111"/>
    </row>
    <row r="12" spans="1:35" ht="31.5" x14ac:dyDescent="0.25">
      <c r="A12" s="31" t="s">
        <v>77</v>
      </c>
      <c r="B12" s="35">
        <v>1265</v>
      </c>
      <c r="C12" s="35">
        <v>1233</v>
      </c>
      <c r="D12" s="35">
        <v>1194</v>
      </c>
      <c r="E12" s="35">
        <v>1267</v>
      </c>
      <c r="F12" s="35">
        <v>1351</v>
      </c>
      <c r="G12" s="35">
        <v>1351</v>
      </c>
      <c r="H12" s="35">
        <v>1409</v>
      </c>
      <c r="I12" s="35">
        <v>1466</v>
      </c>
      <c r="J12" s="35">
        <v>1464</v>
      </c>
      <c r="K12" s="35">
        <f>1455+9</f>
        <v>1464</v>
      </c>
      <c r="L12" s="35">
        <v>1464</v>
      </c>
      <c r="M12" s="35">
        <v>1464</v>
      </c>
      <c r="N12" s="35">
        <v>58719.245999999999</v>
      </c>
      <c r="O12" s="35">
        <v>61890.1</v>
      </c>
      <c r="P12" s="108">
        <v>56463.8</v>
      </c>
      <c r="Q12" s="108">
        <v>108873.3</v>
      </c>
      <c r="R12" s="108">
        <f>70.55*F12</f>
        <v>95313.05</v>
      </c>
      <c r="S12" s="108">
        <f>82.468081*1351</f>
        <v>111414.377431</v>
      </c>
      <c r="T12" s="108">
        <f>81.4854983*H12</f>
        <v>114813.06710470001</v>
      </c>
      <c r="U12" s="108">
        <v>130103.3</v>
      </c>
      <c r="V12" s="109">
        <v>143156.6</v>
      </c>
      <c r="W12" s="110">
        <v>141078.70000000001</v>
      </c>
      <c r="X12" s="109">
        <v>138530.1</v>
      </c>
      <c r="Y12" s="109">
        <v>131559.20000000001</v>
      </c>
      <c r="Z12" s="112">
        <f>T12+T16+T20</f>
        <v>264094.49999030004</v>
      </c>
      <c r="AA12" s="57">
        <v>2020</v>
      </c>
      <c r="AC12" s="113">
        <f>293953.6/3290</f>
        <v>89.347598784194517</v>
      </c>
      <c r="AD12" s="112"/>
      <c r="AE12" s="111" t="s">
        <v>82</v>
      </c>
      <c r="AG12" s="114">
        <v>299872302.11000001</v>
      </c>
      <c r="AH12" s="115">
        <f>AG14*J12/1000</f>
        <v>131559.19996674859</v>
      </c>
      <c r="AI12" s="57">
        <f>K12*AG14/1000</f>
        <v>131559.19996674859</v>
      </c>
    </row>
    <row r="13" spans="1:35" x14ac:dyDescent="0.25">
      <c r="A13" s="116" t="s">
        <v>83</v>
      </c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2">
        <f>U12+U16+U20</f>
        <v>291978.10000000003</v>
      </c>
      <c r="AA13" s="57">
        <v>2021</v>
      </c>
      <c r="AD13" s="112"/>
      <c r="AE13" s="111"/>
      <c r="AF13" s="112"/>
      <c r="AG13" s="57">
        <f>J12+J16+J20</f>
        <v>3337</v>
      </c>
      <c r="AH13" s="115"/>
    </row>
    <row r="14" spans="1:35" x14ac:dyDescent="0.25">
      <c r="A14" s="38" t="s">
        <v>74</v>
      </c>
      <c r="B14" s="102" t="s">
        <v>84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18"/>
      <c r="W14" s="119"/>
      <c r="X14" s="120"/>
      <c r="Z14" s="112"/>
      <c r="AB14" s="57">
        <v>2022</v>
      </c>
      <c r="AC14" s="112">
        <f>V12+V16+V20</f>
        <v>326307.10000000003</v>
      </c>
      <c r="AD14" s="112"/>
      <c r="AE14" s="111"/>
      <c r="AG14" s="57">
        <f>AG12/AG13</f>
        <v>89862.841507341931</v>
      </c>
      <c r="AH14" s="115"/>
    </row>
    <row r="15" spans="1:35" ht="15.75" customHeight="1" x14ac:dyDescent="0.25">
      <c r="A15" s="105" t="s">
        <v>81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7"/>
      <c r="Z15" s="112">
        <v>282458.5</v>
      </c>
      <c r="AA15" s="57">
        <v>2022</v>
      </c>
      <c r="AC15" s="113">
        <f>282458.5/3290</f>
        <v>85.853647416413381</v>
      </c>
      <c r="AE15" s="111"/>
      <c r="AH15" s="115"/>
    </row>
    <row r="16" spans="1:35" ht="31.5" x14ac:dyDescent="0.25">
      <c r="A16" s="31" t="s">
        <v>77</v>
      </c>
      <c r="B16" s="12">
        <v>1284</v>
      </c>
      <c r="C16" s="12">
        <v>1377</v>
      </c>
      <c r="D16" s="12">
        <v>1433</v>
      </c>
      <c r="E16" s="12">
        <v>1086</v>
      </c>
      <c r="F16" s="12">
        <v>1419</v>
      </c>
      <c r="G16" s="12">
        <v>1419</v>
      </c>
      <c r="H16" s="12">
        <v>1450</v>
      </c>
      <c r="I16" s="12">
        <v>1471</v>
      </c>
      <c r="J16" s="12">
        <v>1607</v>
      </c>
      <c r="K16" s="12">
        <v>1605</v>
      </c>
      <c r="L16" s="12">
        <v>1605</v>
      </c>
      <c r="M16" s="12">
        <v>1605</v>
      </c>
      <c r="N16" s="108">
        <v>59652</v>
      </c>
      <c r="O16" s="35">
        <v>62873.2</v>
      </c>
      <c r="P16" s="35">
        <v>82739.399999999994</v>
      </c>
      <c r="Q16" s="108">
        <v>93320</v>
      </c>
      <c r="R16" s="108">
        <f>70.55*F16</f>
        <v>100110.45</v>
      </c>
      <c r="S16" s="108">
        <f>82.468081*1419</f>
        <v>117022.206939</v>
      </c>
      <c r="T16" s="35">
        <f>81.4854983*H16</f>
        <v>118153.97253500001</v>
      </c>
      <c r="U16" s="108">
        <v>130547.1</v>
      </c>
      <c r="V16" s="109">
        <v>157139.79999999999</v>
      </c>
      <c r="W16" s="110">
        <v>133204</v>
      </c>
      <c r="X16" s="109">
        <v>151872.20000000001</v>
      </c>
      <c r="Y16" s="121">
        <v>144229.9</v>
      </c>
      <c r="Z16" s="112">
        <f>W12+W16+W20</f>
        <v>300523.90000000002</v>
      </c>
      <c r="AA16" s="57">
        <v>2023</v>
      </c>
      <c r="AE16" s="111" t="s">
        <v>82</v>
      </c>
      <c r="AH16" s="115">
        <f>J16*AG14/1000</f>
        <v>144409.5863022985</v>
      </c>
      <c r="AI16" s="112">
        <f>K16*AG14/1000</f>
        <v>144229.86061928381</v>
      </c>
    </row>
    <row r="17" spans="1:35" x14ac:dyDescent="0.25">
      <c r="A17" s="99" t="s">
        <v>85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1"/>
      <c r="AE17" s="111"/>
      <c r="AH17" s="115"/>
    </row>
    <row r="18" spans="1:35" x14ac:dyDescent="0.25">
      <c r="A18" s="38" t="s">
        <v>74</v>
      </c>
      <c r="B18" s="102" t="s">
        <v>86</v>
      </c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4"/>
      <c r="AA18" s="122"/>
      <c r="AB18" s="57">
        <v>2023</v>
      </c>
      <c r="AC18" s="112">
        <f>W12+W16+W20</f>
        <v>300523.90000000002</v>
      </c>
      <c r="AE18" s="111"/>
      <c r="AH18" s="115"/>
    </row>
    <row r="19" spans="1:35" ht="15.75" customHeight="1" x14ac:dyDescent="0.25">
      <c r="A19" s="105" t="s">
        <v>81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7"/>
      <c r="AC19" s="57">
        <f>286007.7/3290</f>
        <v>86.93243161094226</v>
      </c>
      <c r="AE19" s="111"/>
      <c r="AF19" s="111"/>
      <c r="AH19" s="115"/>
    </row>
    <row r="20" spans="1:35" ht="31.5" x14ac:dyDescent="0.25">
      <c r="A20" s="31" t="s">
        <v>77</v>
      </c>
      <c r="B20" s="35">
        <v>338</v>
      </c>
      <c r="C20" s="35">
        <v>309</v>
      </c>
      <c r="D20" s="35">
        <v>277</v>
      </c>
      <c r="E20" s="35">
        <v>270</v>
      </c>
      <c r="F20" s="35">
        <v>388</v>
      </c>
      <c r="G20" s="35">
        <v>388</v>
      </c>
      <c r="H20" s="35">
        <v>382</v>
      </c>
      <c r="I20" s="35">
        <v>353</v>
      </c>
      <c r="J20" s="35">
        <v>266</v>
      </c>
      <c r="K20" s="35">
        <v>268</v>
      </c>
      <c r="L20" s="35">
        <v>268</v>
      </c>
      <c r="M20" s="35">
        <v>268</v>
      </c>
      <c r="N20" s="35">
        <v>14085.156999999999</v>
      </c>
      <c r="O20" s="35">
        <v>14845.7</v>
      </c>
      <c r="P20" s="108">
        <v>16243.5</v>
      </c>
      <c r="Q20" s="108">
        <f>23201.1-13.98</f>
        <v>23187.119999999999</v>
      </c>
      <c r="R20" s="108">
        <f>70.55*F20-3.5</f>
        <v>27369.899999999998</v>
      </c>
      <c r="S20" s="108">
        <v>33657</v>
      </c>
      <c r="T20" s="35">
        <f>81.4854983*H20</f>
        <v>31127.460350600002</v>
      </c>
      <c r="U20" s="108">
        <v>31327.7</v>
      </c>
      <c r="V20" s="109">
        <v>26010.7</v>
      </c>
      <c r="W20" s="110">
        <v>26241.200000000001</v>
      </c>
      <c r="X20" s="109">
        <v>25359.3</v>
      </c>
      <c r="Y20" s="121">
        <v>24083.200000000001</v>
      </c>
      <c r="Z20" s="122">
        <v>302122.90000000002</v>
      </c>
      <c r="AA20" s="123">
        <f>Z20/3290</f>
        <v>91.83066869300913</v>
      </c>
      <c r="AB20" s="57">
        <v>2021</v>
      </c>
      <c r="AE20" s="111" t="s">
        <v>82</v>
      </c>
      <c r="AH20" s="115">
        <f>J20*AG14/1000</f>
        <v>23903.515840952954</v>
      </c>
      <c r="AI20" s="57">
        <f>K20*AG14/1000</f>
        <v>24083.241523967637</v>
      </c>
    </row>
    <row r="21" spans="1:35" x14ac:dyDescent="0.25">
      <c r="A21" s="99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24"/>
      <c r="W21" s="125"/>
      <c r="X21" s="126"/>
      <c r="Y21" s="126"/>
      <c r="Z21" s="57">
        <f>320023.2-37564.1</f>
        <v>282459.10000000003</v>
      </c>
      <c r="AA21" s="123">
        <f>Z21/3290</f>
        <v>85.853829787234048</v>
      </c>
      <c r="AB21" s="57">
        <v>2022</v>
      </c>
      <c r="AE21" s="127"/>
      <c r="AF21" s="112"/>
    </row>
    <row r="22" spans="1:35" x14ac:dyDescent="0.25">
      <c r="A22" s="38" t="s">
        <v>74</v>
      </c>
      <c r="B22" s="102" t="s">
        <v>87</v>
      </c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4"/>
      <c r="AE22" s="111"/>
      <c r="AF22" s="112"/>
    </row>
    <row r="23" spans="1:35" ht="15.75" customHeight="1" x14ac:dyDescent="0.25">
      <c r="A23" s="105" t="s">
        <v>88</v>
      </c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7"/>
      <c r="Z23" s="112"/>
      <c r="AE23" s="111"/>
    </row>
    <row r="24" spans="1:35" ht="31.5" x14ac:dyDescent="0.25">
      <c r="A24" s="31" t="s">
        <v>77</v>
      </c>
      <c r="B24" s="35">
        <v>2859</v>
      </c>
      <c r="C24" s="35">
        <v>2860</v>
      </c>
      <c r="D24" s="35">
        <v>2850</v>
      </c>
      <c r="E24" s="35">
        <v>2783</v>
      </c>
      <c r="F24" s="35">
        <v>2783</v>
      </c>
      <c r="G24" s="35">
        <v>2783</v>
      </c>
      <c r="H24" s="35">
        <v>2783</v>
      </c>
      <c r="I24" s="35">
        <v>2783</v>
      </c>
      <c r="J24" s="35">
        <v>2783</v>
      </c>
      <c r="K24" s="35">
        <v>2783</v>
      </c>
      <c r="L24" s="35">
        <v>2783</v>
      </c>
      <c r="M24" s="35">
        <v>2783</v>
      </c>
      <c r="N24" s="108">
        <v>6990.7</v>
      </c>
      <c r="O24" s="35">
        <v>7764.9</v>
      </c>
      <c r="P24" s="35">
        <v>7414.4</v>
      </c>
      <c r="Q24" s="35">
        <v>8058.3</v>
      </c>
      <c r="R24" s="35">
        <v>7980.8</v>
      </c>
      <c r="S24" s="35">
        <v>8394.1</v>
      </c>
      <c r="T24" s="35">
        <v>0</v>
      </c>
      <c r="U24" s="35">
        <v>9059.7000000000007</v>
      </c>
      <c r="V24" s="37">
        <v>8057.4</v>
      </c>
      <c r="W24" s="128">
        <v>9820.1</v>
      </c>
      <c r="X24" s="128">
        <v>9617.1</v>
      </c>
      <c r="Y24" s="128">
        <v>9617.1</v>
      </c>
      <c r="AA24" s="112"/>
      <c r="AD24" s="112">
        <f>U12+U16+U20</f>
        <v>291978.10000000003</v>
      </c>
      <c r="AE24" s="111" t="s">
        <v>89</v>
      </c>
    </row>
    <row r="25" spans="1:35" x14ac:dyDescent="0.25">
      <c r="A25" s="99" t="s">
        <v>90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1"/>
      <c r="AE25" s="111"/>
    </row>
    <row r="26" spans="1:35" x14ac:dyDescent="0.25">
      <c r="A26" s="38" t="s">
        <v>74</v>
      </c>
      <c r="B26" s="102" t="s">
        <v>91</v>
      </c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4"/>
      <c r="AD26" s="112">
        <f>V12+V16+V20</f>
        <v>326307.10000000003</v>
      </c>
      <c r="AE26" s="111"/>
    </row>
    <row r="27" spans="1:35" ht="15.75" customHeight="1" x14ac:dyDescent="0.25">
      <c r="A27" s="105" t="s">
        <v>81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7"/>
      <c r="AE27" s="111"/>
    </row>
    <row r="28" spans="1:35" ht="31.5" x14ac:dyDescent="0.25">
      <c r="A28" s="31" t="s">
        <v>77</v>
      </c>
      <c r="B28" s="128">
        <v>1760</v>
      </c>
      <c r="C28" s="128">
        <v>1718</v>
      </c>
      <c r="D28" s="128">
        <v>1663</v>
      </c>
      <c r="E28" s="128">
        <v>1639</v>
      </c>
      <c r="F28" s="128">
        <v>1639</v>
      </c>
      <c r="G28" s="128">
        <v>1639</v>
      </c>
      <c r="H28" s="128">
        <v>1639</v>
      </c>
      <c r="I28" s="128">
        <v>1600</v>
      </c>
      <c r="J28" s="128">
        <v>1600</v>
      </c>
      <c r="K28" s="128">
        <v>1600</v>
      </c>
      <c r="L28" s="128">
        <v>1600</v>
      </c>
      <c r="M28" s="128">
        <v>1600</v>
      </c>
      <c r="N28" s="128">
        <v>24540.2</v>
      </c>
      <c r="O28" s="128">
        <v>27318.799999999999</v>
      </c>
      <c r="P28" s="129">
        <v>37615.9</v>
      </c>
      <c r="Q28" s="129">
        <v>34556.199999999997</v>
      </c>
      <c r="R28" s="129">
        <v>32389.599999999999</v>
      </c>
      <c r="S28" s="128">
        <v>33657</v>
      </c>
      <c r="T28" s="128">
        <v>35799.699999999997</v>
      </c>
      <c r="U28" s="128">
        <v>61666.1</v>
      </c>
      <c r="V28" s="130">
        <v>77918.8</v>
      </c>
      <c r="W28" s="131">
        <v>35472.800000000003</v>
      </c>
      <c r="X28" s="130">
        <v>74778</v>
      </c>
      <c r="Y28" s="130">
        <v>74778</v>
      </c>
      <c r="AE28" s="111" t="s">
        <v>92</v>
      </c>
    </row>
    <row r="29" spans="1:35" hidden="1" x14ac:dyDescent="0.25">
      <c r="A29" s="99" t="s">
        <v>93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18"/>
      <c r="W29" s="119"/>
      <c r="X29" s="120"/>
      <c r="Y29" s="120"/>
    </row>
    <row r="30" spans="1:35" hidden="1" x14ac:dyDescent="0.25">
      <c r="A30" s="38" t="s">
        <v>74</v>
      </c>
      <c r="B30" s="102" t="s">
        <v>94</v>
      </c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18"/>
      <c r="W30" s="119"/>
      <c r="X30" s="120"/>
      <c r="Y30" s="120"/>
    </row>
    <row r="31" spans="1:35" hidden="1" x14ac:dyDescent="0.25">
      <c r="A31" s="105" t="s">
        <v>81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18"/>
      <c r="W31" s="119"/>
      <c r="X31" s="120"/>
      <c r="Y31" s="120"/>
    </row>
    <row r="32" spans="1:35" ht="31.5" hidden="1" x14ac:dyDescent="0.25">
      <c r="A32" s="31" t="s">
        <v>77</v>
      </c>
      <c r="B32" s="35">
        <v>272</v>
      </c>
      <c r="C32" s="35">
        <v>272</v>
      </c>
      <c r="D32" s="35">
        <v>272</v>
      </c>
      <c r="E32" s="35">
        <v>509</v>
      </c>
      <c r="F32" s="35">
        <v>520</v>
      </c>
      <c r="G32" s="35">
        <v>520</v>
      </c>
      <c r="H32" s="35">
        <v>520</v>
      </c>
      <c r="I32" s="35">
        <v>520</v>
      </c>
      <c r="J32" s="35">
        <v>520</v>
      </c>
      <c r="K32" s="35">
        <v>520</v>
      </c>
      <c r="L32" s="35">
        <v>520</v>
      </c>
      <c r="M32" s="35">
        <v>520</v>
      </c>
      <c r="N32" s="108">
        <v>1840.2</v>
      </c>
      <c r="O32" s="108">
        <v>1939.6</v>
      </c>
      <c r="P32" s="108">
        <v>760.7</v>
      </c>
      <c r="Q32" s="108">
        <f>415+1197.4</f>
        <v>1612.4</v>
      </c>
      <c r="R32" s="108">
        <f>444+1240.7</f>
        <v>1684.7</v>
      </c>
      <c r="S32" s="108">
        <f>444+1240.7</f>
        <v>1684.7</v>
      </c>
      <c r="T32" s="108">
        <f>444+1240.7</f>
        <v>1684.7</v>
      </c>
      <c r="U32" s="108">
        <f>444+1240.7</f>
        <v>1684.7</v>
      </c>
      <c r="V32" s="109">
        <f>444+1240.7</f>
        <v>1684.7</v>
      </c>
      <c r="W32" s="129">
        <f>V32</f>
        <v>1684.7</v>
      </c>
      <c r="X32" s="129">
        <f>V32</f>
        <v>1684.7</v>
      </c>
      <c r="Y32" s="129">
        <f>W32</f>
        <v>1684.7</v>
      </c>
    </row>
    <row r="34" spans="1:24" x14ac:dyDescent="0.25">
      <c r="S34" s="112"/>
      <c r="T34" s="112"/>
    </row>
    <row r="35" spans="1:24" x14ac:dyDescent="0.25">
      <c r="A35" s="57" t="s">
        <v>33</v>
      </c>
      <c r="P35" s="132"/>
      <c r="Q35" s="132"/>
      <c r="R35" s="132"/>
      <c r="S35" s="132"/>
      <c r="T35" s="132"/>
      <c r="X35" s="57" t="s">
        <v>34</v>
      </c>
    </row>
  </sheetData>
  <mergeCells count="27">
    <mergeCell ref="B30:U30"/>
    <mergeCell ref="A31:U31"/>
    <mergeCell ref="P35:T35"/>
    <mergeCell ref="B22:Y22"/>
    <mergeCell ref="A23:Y23"/>
    <mergeCell ref="A25:Y25"/>
    <mergeCell ref="B26:Y26"/>
    <mergeCell ref="A27:Y27"/>
    <mergeCell ref="A29:U29"/>
    <mergeCell ref="B14:U14"/>
    <mergeCell ref="A15:Y15"/>
    <mergeCell ref="A17:Y17"/>
    <mergeCell ref="B18:Y18"/>
    <mergeCell ref="A19:Y19"/>
    <mergeCell ref="A21:U21"/>
    <mergeCell ref="B6:Y6"/>
    <mergeCell ref="A7:Y7"/>
    <mergeCell ref="A9:Y9"/>
    <mergeCell ref="B10:Y10"/>
    <mergeCell ref="A11:Y11"/>
    <mergeCell ref="A13:Y13"/>
    <mergeCell ref="N1:Y1"/>
    <mergeCell ref="A2:U2"/>
    <mergeCell ref="A3:A4"/>
    <mergeCell ref="B3:M3"/>
    <mergeCell ref="N3:Y3"/>
    <mergeCell ref="A5:Y5"/>
  </mergeCells>
  <pageMargins left="0.7" right="0.7" top="0.75" bottom="0.75" header="0.3" footer="0.3"/>
  <pageSetup paperSize="9" scale="46" fitToHeight="0" orientation="landscape" r:id="rId1"/>
  <colBreaks count="2" manualBreakCount="2">
    <brk id="25" max="34" man="1"/>
    <brk id="3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6"/>
  <sheetViews>
    <sheetView view="pageBreakPreview" zoomScaleNormal="100" zoomScaleSheetLayoutView="100" workbookViewId="0">
      <pane xSplit="2" ySplit="6" topLeftCell="H70" activePane="bottomRight" state="frozen"/>
      <selection activeCell="K54" sqref="K54"/>
      <selection pane="topRight" activeCell="K54" sqref="K54"/>
      <selection pane="bottomLeft" activeCell="K54" sqref="K54"/>
      <selection pane="bottomRight" activeCell="K54" sqref="K54"/>
    </sheetView>
  </sheetViews>
  <sheetFormatPr defaultRowHeight="15.75" x14ac:dyDescent="0.25"/>
  <cols>
    <col min="1" max="1" width="7.5703125" style="207" customWidth="1"/>
    <col min="2" max="2" width="79.140625" style="57" customWidth="1"/>
    <col min="3" max="3" width="12" style="57" customWidth="1"/>
    <col min="4" max="4" width="11.85546875" style="57" customWidth="1"/>
    <col min="5" max="5" width="26.140625" style="57" customWidth="1"/>
    <col min="6" max="6" width="11.42578125" style="57" hidden="1" customWidth="1"/>
    <col min="7" max="13" width="10.7109375" style="57" customWidth="1"/>
    <col min="14" max="15" width="10.7109375" style="138" customWidth="1"/>
    <col min="16" max="16" width="9.140625" style="57"/>
    <col min="17" max="18" width="10.28515625" style="57" customWidth="1"/>
    <col min="19" max="16384" width="9.140625" style="57"/>
  </cols>
  <sheetData>
    <row r="1" spans="1:18" ht="65.25" customHeight="1" x14ac:dyDescent="0.25">
      <c r="A1" s="133"/>
      <c r="B1" s="134"/>
      <c r="C1" s="135"/>
      <c r="D1" s="134"/>
      <c r="E1" s="134"/>
      <c r="G1" s="136" t="s">
        <v>95</v>
      </c>
      <c r="H1" s="136"/>
      <c r="I1" s="136"/>
      <c r="J1" s="136"/>
      <c r="K1" s="136"/>
      <c r="L1" s="136"/>
      <c r="M1" s="136"/>
      <c r="N1" s="136"/>
      <c r="O1" s="136"/>
      <c r="P1" s="136"/>
    </row>
    <row r="2" spans="1:18" ht="37.5" customHeight="1" x14ac:dyDescent="0.25">
      <c r="A2" s="137" t="s">
        <v>96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</row>
    <row r="3" spans="1:18" x14ac:dyDescent="0.25">
      <c r="A3" s="139" t="s">
        <v>97</v>
      </c>
      <c r="B3" s="140" t="s">
        <v>98</v>
      </c>
      <c r="C3" s="140" t="s">
        <v>99</v>
      </c>
      <c r="D3" s="140" t="s">
        <v>100</v>
      </c>
      <c r="E3" s="140" t="s">
        <v>101</v>
      </c>
      <c r="F3" s="53" t="s">
        <v>102</v>
      </c>
      <c r="G3" s="53" t="s">
        <v>42</v>
      </c>
      <c r="H3" s="53" t="s">
        <v>43</v>
      </c>
      <c r="I3" s="53" t="s">
        <v>44</v>
      </c>
      <c r="J3" s="53" t="s">
        <v>45</v>
      </c>
      <c r="K3" s="53" t="s">
        <v>46</v>
      </c>
      <c r="L3" s="53" t="s">
        <v>47</v>
      </c>
      <c r="M3" s="53" t="s">
        <v>48</v>
      </c>
      <c r="N3" s="53" t="s">
        <v>49</v>
      </c>
      <c r="O3" s="53" t="s">
        <v>50</v>
      </c>
      <c r="P3" s="53" t="s">
        <v>51</v>
      </c>
      <c r="Q3" s="53" t="s">
        <v>52</v>
      </c>
      <c r="R3" s="53" t="s">
        <v>53</v>
      </c>
    </row>
    <row r="4" spans="1:18" x14ac:dyDescent="0.25">
      <c r="A4" s="139"/>
      <c r="B4" s="140"/>
      <c r="C4" s="140"/>
      <c r="D4" s="140"/>
      <c r="E4" s="140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</row>
    <row r="5" spans="1:18" x14ac:dyDescent="0.25">
      <c r="A5" s="139"/>
      <c r="B5" s="140"/>
      <c r="C5" s="140"/>
      <c r="D5" s="140"/>
      <c r="E5" s="140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8" x14ac:dyDescent="0.25">
      <c r="A6" s="140" t="s">
        <v>103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1"/>
      <c r="Q6" s="142"/>
      <c r="R6" s="142"/>
    </row>
    <row r="7" spans="1:18" ht="47.25" x14ac:dyDescent="0.25">
      <c r="A7" s="36">
        <v>1</v>
      </c>
      <c r="B7" s="143" t="s">
        <v>104</v>
      </c>
      <c r="C7" s="35" t="s">
        <v>105</v>
      </c>
      <c r="D7" s="144" t="s">
        <v>106</v>
      </c>
      <c r="E7" s="145" t="s">
        <v>107</v>
      </c>
      <c r="F7" s="146"/>
      <c r="G7" s="147">
        <v>95</v>
      </c>
      <c r="H7" s="147">
        <v>95</v>
      </c>
      <c r="I7" s="147">
        <v>96</v>
      </c>
      <c r="J7" s="147">
        <v>96</v>
      </c>
      <c r="K7" s="147">
        <v>96</v>
      </c>
      <c r="L7" s="147">
        <v>96</v>
      </c>
      <c r="M7" s="147">
        <v>96</v>
      </c>
      <c r="N7" s="147">
        <v>96</v>
      </c>
      <c r="O7" s="147">
        <f>N7</f>
        <v>96</v>
      </c>
      <c r="P7" s="148">
        <f>O7</f>
        <v>96</v>
      </c>
      <c r="Q7" s="149">
        <f>O7</f>
        <v>96</v>
      </c>
      <c r="R7" s="149">
        <f>P7</f>
        <v>96</v>
      </c>
    </row>
    <row r="8" spans="1:18" ht="63" x14ac:dyDescent="0.25">
      <c r="A8" s="36" t="s">
        <v>108</v>
      </c>
      <c r="B8" s="143" t="s">
        <v>109</v>
      </c>
      <c r="C8" s="35" t="s">
        <v>105</v>
      </c>
      <c r="D8" s="144" t="s">
        <v>106</v>
      </c>
      <c r="E8" s="145" t="s">
        <v>110</v>
      </c>
      <c r="F8" s="108">
        <v>80</v>
      </c>
      <c r="G8" s="37">
        <v>91.3</v>
      </c>
      <c r="H8" s="37">
        <v>100</v>
      </c>
      <c r="I8" s="37">
        <v>100</v>
      </c>
      <c r="J8" s="37">
        <v>100</v>
      </c>
      <c r="K8" s="37">
        <v>100</v>
      </c>
      <c r="L8" s="37">
        <v>100</v>
      </c>
      <c r="M8" s="37">
        <v>100</v>
      </c>
      <c r="N8" s="37">
        <v>100</v>
      </c>
      <c r="O8" s="147">
        <f t="shared" ref="O8:P10" si="0">N8</f>
        <v>100</v>
      </c>
      <c r="P8" s="148">
        <f t="shared" si="0"/>
        <v>100</v>
      </c>
      <c r="Q8" s="149">
        <f t="shared" ref="Q8:R28" si="1">O8</f>
        <v>100</v>
      </c>
      <c r="R8" s="149">
        <f t="shared" si="1"/>
        <v>100</v>
      </c>
    </row>
    <row r="9" spans="1:18" ht="63" x14ac:dyDescent="0.25">
      <c r="A9" s="36" t="s">
        <v>111</v>
      </c>
      <c r="B9" s="150" t="s">
        <v>112</v>
      </c>
      <c r="C9" s="144" t="s">
        <v>105</v>
      </c>
      <c r="D9" s="144" t="s">
        <v>106</v>
      </c>
      <c r="E9" s="144" t="s">
        <v>110</v>
      </c>
      <c r="F9" s="144">
        <v>1.96</v>
      </c>
      <c r="G9" s="151">
        <v>98.53</v>
      </c>
      <c r="H9" s="151">
        <v>98.6</v>
      </c>
      <c r="I9" s="151">
        <v>98.6</v>
      </c>
      <c r="J9" s="151">
        <v>100</v>
      </c>
      <c r="K9" s="151">
        <v>100</v>
      </c>
      <c r="L9" s="151">
        <v>100</v>
      </c>
      <c r="M9" s="151">
        <v>100</v>
      </c>
      <c r="N9" s="151">
        <v>100</v>
      </c>
      <c r="O9" s="147">
        <f t="shared" si="0"/>
        <v>100</v>
      </c>
      <c r="P9" s="148">
        <f t="shared" si="0"/>
        <v>100</v>
      </c>
      <c r="Q9" s="149">
        <f t="shared" si="1"/>
        <v>100</v>
      </c>
      <c r="R9" s="149">
        <f t="shared" si="1"/>
        <v>100</v>
      </c>
    </row>
    <row r="10" spans="1:18" ht="63" x14ac:dyDescent="0.25">
      <c r="A10" s="36" t="s">
        <v>113</v>
      </c>
      <c r="B10" s="143" t="s">
        <v>114</v>
      </c>
      <c r="C10" s="35" t="s">
        <v>105</v>
      </c>
      <c r="D10" s="144" t="s">
        <v>106</v>
      </c>
      <c r="E10" s="144" t="s">
        <v>110</v>
      </c>
      <c r="F10" s="152">
        <v>60.5</v>
      </c>
      <c r="G10" s="153">
        <v>67</v>
      </c>
      <c r="H10" s="153">
        <v>83</v>
      </c>
      <c r="I10" s="153">
        <v>83</v>
      </c>
      <c r="J10" s="153">
        <v>83</v>
      </c>
      <c r="K10" s="153">
        <v>83</v>
      </c>
      <c r="L10" s="153">
        <v>83</v>
      </c>
      <c r="M10" s="153">
        <v>100</v>
      </c>
      <c r="N10" s="153">
        <v>100</v>
      </c>
      <c r="O10" s="147">
        <f t="shared" si="0"/>
        <v>100</v>
      </c>
      <c r="P10" s="148">
        <f t="shared" si="0"/>
        <v>100</v>
      </c>
      <c r="Q10" s="149">
        <f t="shared" si="1"/>
        <v>100</v>
      </c>
      <c r="R10" s="149">
        <f t="shared" si="1"/>
        <v>100</v>
      </c>
    </row>
    <row r="11" spans="1:18" s="58" customFormat="1" x14ac:dyDescent="0.25">
      <c r="A11" s="154" t="s">
        <v>115</v>
      </c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5"/>
      <c r="O11" s="156"/>
      <c r="P11" s="118"/>
      <c r="Q11" s="157"/>
      <c r="R11" s="157"/>
    </row>
    <row r="12" spans="1:18" s="58" customFormat="1" x14ac:dyDescent="0.25">
      <c r="A12" s="154" t="s">
        <v>116</v>
      </c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5"/>
      <c r="O12" s="156"/>
      <c r="P12" s="118"/>
      <c r="Q12" s="157"/>
      <c r="R12" s="157"/>
    </row>
    <row r="13" spans="1:18" s="58" customFormat="1" x14ac:dyDescent="0.25">
      <c r="A13" s="154" t="s">
        <v>117</v>
      </c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5"/>
      <c r="O13" s="156"/>
      <c r="P13" s="118"/>
      <c r="Q13" s="157"/>
      <c r="R13" s="157"/>
    </row>
    <row r="14" spans="1:18" ht="31.5" x14ac:dyDescent="0.25">
      <c r="A14" s="36" t="s">
        <v>118</v>
      </c>
      <c r="B14" s="143" t="s">
        <v>119</v>
      </c>
      <c r="C14" s="37" t="s">
        <v>105</v>
      </c>
      <c r="D14" s="35">
        <v>0.03</v>
      </c>
      <c r="E14" s="158" t="s">
        <v>120</v>
      </c>
      <c r="F14" s="37">
        <v>64</v>
      </c>
      <c r="G14" s="37">
        <v>90.1</v>
      </c>
      <c r="H14" s="109">
        <v>97.5</v>
      </c>
      <c r="I14" s="109">
        <v>100</v>
      </c>
      <c r="J14" s="109">
        <v>100</v>
      </c>
      <c r="K14" s="109">
        <v>100</v>
      </c>
      <c r="L14" s="109">
        <v>100</v>
      </c>
      <c r="M14" s="109">
        <v>100</v>
      </c>
      <c r="N14" s="109">
        <v>100</v>
      </c>
      <c r="O14" s="109">
        <f>N14</f>
        <v>100</v>
      </c>
      <c r="P14" s="159">
        <f>O14</f>
        <v>100</v>
      </c>
      <c r="Q14" s="149">
        <f t="shared" si="1"/>
        <v>100</v>
      </c>
      <c r="R14" s="149">
        <f t="shared" si="1"/>
        <v>100</v>
      </c>
    </row>
    <row r="15" spans="1:18" ht="63" x14ac:dyDescent="0.25">
      <c r="A15" s="36" t="s">
        <v>121</v>
      </c>
      <c r="B15" s="143" t="s">
        <v>122</v>
      </c>
      <c r="C15" s="37" t="s">
        <v>105</v>
      </c>
      <c r="D15" s="35">
        <v>0.03</v>
      </c>
      <c r="E15" s="158" t="s">
        <v>120</v>
      </c>
      <c r="F15" s="13">
        <v>78.8</v>
      </c>
      <c r="G15" s="13">
        <v>85</v>
      </c>
      <c r="H15" s="13">
        <v>97</v>
      </c>
      <c r="I15" s="109">
        <v>100</v>
      </c>
      <c r="J15" s="109">
        <v>100</v>
      </c>
      <c r="K15" s="109">
        <v>100</v>
      </c>
      <c r="L15" s="109">
        <v>100</v>
      </c>
      <c r="M15" s="109">
        <v>100</v>
      </c>
      <c r="N15" s="109">
        <v>100</v>
      </c>
      <c r="O15" s="109">
        <f t="shared" ref="O15:P17" si="2">N15</f>
        <v>100</v>
      </c>
      <c r="P15" s="159">
        <f t="shared" si="2"/>
        <v>100</v>
      </c>
      <c r="Q15" s="149">
        <f t="shared" si="1"/>
        <v>100</v>
      </c>
      <c r="R15" s="149">
        <f t="shared" si="1"/>
        <v>100</v>
      </c>
    </row>
    <row r="16" spans="1:18" ht="94.5" x14ac:dyDescent="0.25">
      <c r="A16" s="36" t="s">
        <v>123</v>
      </c>
      <c r="B16" s="143" t="s">
        <v>124</v>
      </c>
      <c r="C16" s="37" t="s">
        <v>105</v>
      </c>
      <c r="D16" s="35">
        <v>0.03</v>
      </c>
      <c r="E16" s="158" t="s">
        <v>120</v>
      </c>
      <c r="F16" s="160" t="s">
        <v>125</v>
      </c>
      <c r="G16" s="37" t="s">
        <v>125</v>
      </c>
      <c r="H16" s="109">
        <v>0</v>
      </c>
      <c r="I16" s="109">
        <v>0</v>
      </c>
      <c r="J16" s="109">
        <v>100</v>
      </c>
      <c r="K16" s="109">
        <v>100</v>
      </c>
      <c r="L16" s="109">
        <v>100</v>
      </c>
      <c r="M16" s="109">
        <v>100</v>
      </c>
      <c r="N16" s="109">
        <v>100</v>
      </c>
      <c r="O16" s="109">
        <f t="shared" si="2"/>
        <v>100</v>
      </c>
      <c r="P16" s="159">
        <f t="shared" si="2"/>
        <v>100</v>
      </c>
      <c r="Q16" s="149">
        <f t="shared" si="1"/>
        <v>100</v>
      </c>
      <c r="R16" s="149">
        <f t="shared" si="1"/>
        <v>100</v>
      </c>
    </row>
    <row r="17" spans="1:18" ht="78.75" x14ac:dyDescent="0.25">
      <c r="A17" s="36" t="s">
        <v>126</v>
      </c>
      <c r="B17" s="143" t="s">
        <v>127</v>
      </c>
      <c r="C17" s="37" t="s">
        <v>105</v>
      </c>
      <c r="D17" s="35">
        <v>0.02</v>
      </c>
      <c r="E17" s="158" t="s">
        <v>120</v>
      </c>
      <c r="F17" s="37" t="s">
        <v>125</v>
      </c>
      <c r="G17" s="37" t="s">
        <v>128</v>
      </c>
      <c r="H17" s="109" t="s">
        <v>129</v>
      </c>
      <c r="I17" s="109" t="s">
        <v>129</v>
      </c>
      <c r="J17" s="109" t="s">
        <v>129</v>
      </c>
      <c r="K17" s="109" t="s">
        <v>129</v>
      </c>
      <c r="L17" s="109" t="s">
        <v>129</v>
      </c>
      <c r="M17" s="109" t="s">
        <v>129</v>
      </c>
      <c r="N17" s="109" t="s">
        <v>129</v>
      </c>
      <c r="O17" s="109" t="str">
        <f t="shared" si="2"/>
        <v>80(10)</v>
      </c>
      <c r="P17" s="161" t="str">
        <f t="shared" si="2"/>
        <v>80(10)</v>
      </c>
      <c r="Q17" s="149" t="str">
        <f t="shared" si="1"/>
        <v>80(10)</v>
      </c>
      <c r="R17" s="149" t="str">
        <f t="shared" si="1"/>
        <v>80(10)</v>
      </c>
    </row>
    <row r="18" spans="1:18" s="58" customFormat="1" x14ac:dyDescent="0.25">
      <c r="A18" s="154" t="s">
        <v>130</v>
      </c>
      <c r="B18" s="154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5"/>
      <c r="O18" s="156"/>
      <c r="P18" s="118"/>
      <c r="Q18" s="157"/>
      <c r="R18" s="157"/>
    </row>
    <row r="19" spans="1:18" s="58" customFormat="1" x14ac:dyDescent="0.25">
      <c r="A19" s="154" t="s">
        <v>131</v>
      </c>
      <c r="B19" s="154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5"/>
      <c r="O19" s="156"/>
      <c r="P19" s="118"/>
      <c r="Q19" s="157"/>
      <c r="R19" s="157"/>
    </row>
    <row r="20" spans="1:18" s="58" customFormat="1" x14ac:dyDescent="0.25">
      <c r="A20" s="154" t="s">
        <v>132</v>
      </c>
      <c r="B20" s="154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5"/>
      <c r="O20" s="156"/>
      <c r="P20" s="118"/>
      <c r="Q20" s="157"/>
      <c r="R20" s="157"/>
    </row>
    <row r="21" spans="1:18" ht="31.5" x14ac:dyDescent="0.25">
      <c r="A21" s="36" t="s">
        <v>133</v>
      </c>
      <c r="B21" s="143" t="s">
        <v>134</v>
      </c>
      <c r="C21" s="35" t="s">
        <v>105</v>
      </c>
      <c r="D21" s="35">
        <v>0.02</v>
      </c>
      <c r="E21" s="145" t="s">
        <v>110</v>
      </c>
      <c r="F21" s="35" t="s">
        <v>135</v>
      </c>
      <c r="G21" s="162">
        <v>71.400000000000006</v>
      </c>
      <c r="H21" s="162">
        <v>85.7</v>
      </c>
      <c r="I21" s="152">
        <v>85.7</v>
      </c>
      <c r="J21" s="152">
        <v>85.7</v>
      </c>
      <c r="K21" s="152">
        <v>85.7</v>
      </c>
      <c r="L21" s="152">
        <v>85.7</v>
      </c>
      <c r="M21" s="152">
        <v>85.7</v>
      </c>
      <c r="N21" s="152">
        <v>85.7</v>
      </c>
      <c r="O21" s="152">
        <f>N21</f>
        <v>85.7</v>
      </c>
      <c r="P21" s="148">
        <f>O21</f>
        <v>85.7</v>
      </c>
      <c r="Q21" s="149">
        <f t="shared" si="1"/>
        <v>85.7</v>
      </c>
      <c r="R21" s="149">
        <f t="shared" si="1"/>
        <v>85.7</v>
      </c>
    </row>
    <row r="22" spans="1:18" ht="31.5" x14ac:dyDescent="0.25">
      <c r="A22" s="36" t="s">
        <v>136</v>
      </c>
      <c r="B22" s="143" t="s">
        <v>137</v>
      </c>
      <c r="C22" s="35" t="s">
        <v>105</v>
      </c>
      <c r="D22" s="35">
        <v>0.02</v>
      </c>
      <c r="E22" s="145" t="s">
        <v>110</v>
      </c>
      <c r="F22" s="35" t="s">
        <v>135</v>
      </c>
      <c r="G22" s="163">
        <v>75</v>
      </c>
      <c r="H22" s="163">
        <v>75</v>
      </c>
      <c r="I22" s="152">
        <v>75</v>
      </c>
      <c r="J22" s="152">
        <v>85</v>
      </c>
      <c r="K22" s="152">
        <v>85</v>
      </c>
      <c r="L22" s="152">
        <v>85</v>
      </c>
      <c r="M22" s="152">
        <v>85</v>
      </c>
      <c r="N22" s="152">
        <v>85</v>
      </c>
      <c r="O22" s="152">
        <f>N22</f>
        <v>85</v>
      </c>
      <c r="P22" s="148">
        <f>O22</f>
        <v>85</v>
      </c>
      <c r="Q22" s="149">
        <f t="shared" si="1"/>
        <v>85</v>
      </c>
      <c r="R22" s="149">
        <f t="shared" si="1"/>
        <v>85</v>
      </c>
    </row>
    <row r="23" spans="1:18" ht="31.5" x14ac:dyDescent="0.25">
      <c r="A23" s="36" t="s">
        <v>138</v>
      </c>
      <c r="B23" s="143" t="s">
        <v>139</v>
      </c>
      <c r="C23" s="35" t="s">
        <v>140</v>
      </c>
      <c r="D23" s="35">
        <v>0.02</v>
      </c>
      <c r="E23" s="145" t="s">
        <v>110</v>
      </c>
      <c r="F23" s="35"/>
      <c r="G23" s="163">
        <v>8</v>
      </c>
      <c r="H23" s="163">
        <v>8</v>
      </c>
      <c r="I23" s="152">
        <v>8</v>
      </c>
      <c r="J23" s="152">
        <v>8</v>
      </c>
      <c r="K23" s="152">
        <v>8</v>
      </c>
      <c r="L23" s="152">
        <v>8</v>
      </c>
      <c r="M23" s="152">
        <v>8</v>
      </c>
      <c r="N23" s="152">
        <v>8</v>
      </c>
      <c r="O23" s="152">
        <f t="shared" ref="O23:P42" si="3">N23</f>
        <v>8</v>
      </c>
      <c r="P23" s="148">
        <f t="shared" si="3"/>
        <v>8</v>
      </c>
      <c r="Q23" s="149">
        <f t="shared" si="1"/>
        <v>8</v>
      </c>
      <c r="R23" s="149">
        <f t="shared" si="1"/>
        <v>8</v>
      </c>
    </row>
    <row r="24" spans="1:18" ht="31.5" x14ac:dyDescent="0.25">
      <c r="A24" s="36" t="s">
        <v>141</v>
      </c>
      <c r="B24" s="143" t="s">
        <v>142</v>
      </c>
      <c r="C24" s="35" t="s">
        <v>105</v>
      </c>
      <c r="D24" s="35">
        <v>0.02</v>
      </c>
      <c r="E24" s="145" t="s">
        <v>110</v>
      </c>
      <c r="F24" s="35"/>
      <c r="G24" s="163">
        <v>100</v>
      </c>
      <c r="H24" s="163">
        <v>100</v>
      </c>
      <c r="I24" s="152">
        <v>100</v>
      </c>
      <c r="J24" s="152">
        <v>100</v>
      </c>
      <c r="K24" s="152">
        <v>100</v>
      </c>
      <c r="L24" s="152">
        <v>100</v>
      </c>
      <c r="M24" s="152">
        <v>100</v>
      </c>
      <c r="N24" s="152">
        <v>100</v>
      </c>
      <c r="O24" s="152">
        <f t="shared" si="3"/>
        <v>100</v>
      </c>
      <c r="P24" s="148">
        <f t="shared" si="3"/>
        <v>100</v>
      </c>
      <c r="Q24" s="149">
        <f t="shared" si="1"/>
        <v>100</v>
      </c>
      <c r="R24" s="149">
        <f t="shared" si="1"/>
        <v>100</v>
      </c>
    </row>
    <row r="25" spans="1:18" ht="31.5" x14ac:dyDescent="0.25">
      <c r="A25" s="36" t="s">
        <v>143</v>
      </c>
      <c r="B25" s="143" t="s">
        <v>144</v>
      </c>
      <c r="C25" s="35" t="s">
        <v>140</v>
      </c>
      <c r="D25" s="35">
        <v>0.02</v>
      </c>
      <c r="E25" s="145" t="s">
        <v>110</v>
      </c>
      <c r="F25" s="35" t="s">
        <v>135</v>
      </c>
      <c r="G25" s="163">
        <v>7</v>
      </c>
      <c r="H25" s="163">
        <v>7</v>
      </c>
      <c r="I25" s="163">
        <v>7</v>
      </c>
      <c r="J25" s="163">
        <v>7</v>
      </c>
      <c r="K25" s="163">
        <v>7</v>
      </c>
      <c r="L25" s="163">
        <v>7</v>
      </c>
      <c r="M25" s="163">
        <v>7</v>
      </c>
      <c r="N25" s="163">
        <v>7</v>
      </c>
      <c r="O25" s="152">
        <f t="shared" si="3"/>
        <v>7</v>
      </c>
      <c r="P25" s="148">
        <f t="shared" si="3"/>
        <v>7</v>
      </c>
      <c r="Q25" s="149">
        <f t="shared" si="1"/>
        <v>7</v>
      </c>
      <c r="R25" s="149">
        <f t="shared" si="1"/>
        <v>7</v>
      </c>
    </row>
    <row r="26" spans="1:18" s="58" customFormat="1" x14ac:dyDescent="0.25">
      <c r="A26" s="154" t="s">
        <v>145</v>
      </c>
      <c r="B26" s="154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2"/>
      <c r="P26" s="148"/>
      <c r="Q26" s="149"/>
      <c r="R26" s="149"/>
    </row>
    <row r="27" spans="1:18" ht="31.5" x14ac:dyDescent="0.25">
      <c r="A27" s="36" t="s">
        <v>146</v>
      </c>
      <c r="B27" s="143" t="s">
        <v>147</v>
      </c>
      <c r="C27" s="144" t="s">
        <v>105</v>
      </c>
      <c r="D27" s="35">
        <v>0.02</v>
      </c>
      <c r="E27" s="144" t="s">
        <v>110</v>
      </c>
      <c r="F27" s="12">
        <v>15.6</v>
      </c>
      <c r="G27" s="163">
        <v>87.5</v>
      </c>
      <c r="H27" s="163">
        <v>100</v>
      </c>
      <c r="I27" s="163">
        <v>100</v>
      </c>
      <c r="J27" s="163">
        <v>100</v>
      </c>
      <c r="K27" s="163">
        <v>100</v>
      </c>
      <c r="L27" s="164">
        <v>100</v>
      </c>
      <c r="M27" s="164">
        <v>100</v>
      </c>
      <c r="N27" s="164">
        <v>100</v>
      </c>
      <c r="O27" s="152">
        <f t="shared" si="3"/>
        <v>100</v>
      </c>
      <c r="P27" s="148">
        <f t="shared" si="3"/>
        <v>100</v>
      </c>
      <c r="Q27" s="149">
        <f t="shared" si="1"/>
        <v>100</v>
      </c>
      <c r="R27" s="149">
        <f t="shared" si="1"/>
        <v>100</v>
      </c>
    </row>
    <row r="28" spans="1:18" ht="31.5" x14ac:dyDescent="0.25">
      <c r="A28" s="36" t="s">
        <v>148</v>
      </c>
      <c r="B28" s="143" t="s">
        <v>149</v>
      </c>
      <c r="C28" s="144" t="s">
        <v>105</v>
      </c>
      <c r="D28" s="35">
        <v>0.03</v>
      </c>
      <c r="E28" s="144" t="s">
        <v>110</v>
      </c>
      <c r="F28" s="12">
        <v>83.66</v>
      </c>
      <c r="G28" s="163">
        <v>89</v>
      </c>
      <c r="H28" s="163">
        <v>90</v>
      </c>
      <c r="I28" s="164">
        <v>95</v>
      </c>
      <c r="J28" s="164">
        <v>95</v>
      </c>
      <c r="K28" s="164">
        <v>95</v>
      </c>
      <c r="L28" s="164">
        <v>95</v>
      </c>
      <c r="M28" s="164">
        <v>95</v>
      </c>
      <c r="N28" s="164">
        <v>95</v>
      </c>
      <c r="O28" s="152">
        <f t="shared" si="3"/>
        <v>95</v>
      </c>
      <c r="P28" s="148">
        <f t="shared" si="3"/>
        <v>95</v>
      </c>
      <c r="Q28" s="149">
        <f t="shared" si="1"/>
        <v>95</v>
      </c>
      <c r="R28" s="149">
        <f t="shared" si="1"/>
        <v>95</v>
      </c>
    </row>
    <row r="29" spans="1:18" ht="63" x14ac:dyDescent="0.25">
      <c r="A29" s="36" t="s">
        <v>150</v>
      </c>
      <c r="B29" s="143" t="s">
        <v>151</v>
      </c>
      <c r="C29" s="144" t="s">
        <v>105</v>
      </c>
      <c r="D29" s="35">
        <v>0.03</v>
      </c>
      <c r="E29" s="144" t="s">
        <v>110</v>
      </c>
      <c r="F29" s="165">
        <v>90</v>
      </c>
      <c r="G29" s="163">
        <v>10.1</v>
      </c>
      <c r="H29" s="163">
        <v>10.1</v>
      </c>
      <c r="I29" s="164">
        <v>10.1</v>
      </c>
      <c r="J29" s="164">
        <v>9.1</v>
      </c>
      <c r="K29" s="164">
        <v>9.5</v>
      </c>
      <c r="L29" s="164">
        <v>10.1</v>
      </c>
      <c r="M29" s="164">
        <v>10.1</v>
      </c>
      <c r="N29" s="164">
        <v>10.1</v>
      </c>
      <c r="O29" s="152">
        <f t="shared" si="3"/>
        <v>10.1</v>
      </c>
      <c r="P29" s="148">
        <f t="shared" si="3"/>
        <v>10.1</v>
      </c>
      <c r="Q29" s="149">
        <f>O29</f>
        <v>10.1</v>
      </c>
      <c r="R29" s="149">
        <f>P29</f>
        <v>10.1</v>
      </c>
    </row>
    <row r="30" spans="1:18" s="166" customFormat="1" ht="63" x14ac:dyDescent="0.2">
      <c r="A30" s="36" t="s">
        <v>152</v>
      </c>
      <c r="B30" s="143" t="s">
        <v>153</v>
      </c>
      <c r="C30" s="35" t="s">
        <v>105</v>
      </c>
      <c r="D30" s="35">
        <v>0.03</v>
      </c>
      <c r="E30" s="145" t="s">
        <v>107</v>
      </c>
      <c r="F30" s="152">
        <v>2.34</v>
      </c>
      <c r="G30" s="163">
        <v>1.1299999999999999</v>
      </c>
      <c r="H30" s="163">
        <v>1.57</v>
      </c>
      <c r="I30" s="163">
        <v>1.72</v>
      </c>
      <c r="J30" s="163">
        <v>1.86</v>
      </c>
      <c r="K30" s="163">
        <v>1.87</v>
      </c>
      <c r="L30" s="163">
        <v>1.9</v>
      </c>
      <c r="M30" s="163">
        <v>1.9</v>
      </c>
      <c r="N30" s="163">
        <v>1.9</v>
      </c>
      <c r="O30" s="152">
        <f t="shared" si="3"/>
        <v>1.9</v>
      </c>
      <c r="P30" s="148">
        <f t="shared" si="3"/>
        <v>1.9</v>
      </c>
      <c r="Q30" s="149">
        <f t="shared" ref="Q30:R73" si="4">O30</f>
        <v>1.9</v>
      </c>
      <c r="R30" s="149">
        <f t="shared" si="4"/>
        <v>1.9</v>
      </c>
    </row>
    <row r="31" spans="1:18" ht="47.25" x14ac:dyDescent="0.25">
      <c r="A31" s="36" t="s">
        <v>154</v>
      </c>
      <c r="B31" s="143" t="s">
        <v>155</v>
      </c>
      <c r="C31" s="144" t="s">
        <v>105</v>
      </c>
      <c r="D31" s="35">
        <v>0.02</v>
      </c>
      <c r="E31" s="144" t="s">
        <v>110</v>
      </c>
      <c r="F31" s="12">
        <v>9.7799999999999994</v>
      </c>
      <c r="G31" s="162">
        <v>39</v>
      </c>
      <c r="H31" s="162">
        <v>41</v>
      </c>
      <c r="I31" s="164">
        <v>41</v>
      </c>
      <c r="J31" s="167">
        <v>42.5</v>
      </c>
      <c r="K31" s="167">
        <v>48.8</v>
      </c>
      <c r="L31" s="167">
        <v>50.2</v>
      </c>
      <c r="M31" s="167">
        <v>50.2</v>
      </c>
      <c r="N31" s="167">
        <v>50.2</v>
      </c>
      <c r="O31" s="152">
        <f t="shared" si="3"/>
        <v>50.2</v>
      </c>
      <c r="P31" s="148">
        <f t="shared" si="3"/>
        <v>50.2</v>
      </c>
      <c r="Q31" s="149">
        <f t="shared" si="4"/>
        <v>50.2</v>
      </c>
      <c r="R31" s="149">
        <f t="shared" si="4"/>
        <v>50.2</v>
      </c>
    </row>
    <row r="32" spans="1:18" ht="63" x14ac:dyDescent="0.25">
      <c r="A32" s="36" t="s">
        <v>156</v>
      </c>
      <c r="B32" s="143" t="s">
        <v>157</v>
      </c>
      <c r="C32" s="168" t="s">
        <v>105</v>
      </c>
      <c r="D32" s="35">
        <v>0.03</v>
      </c>
      <c r="E32" s="144" t="s">
        <v>110</v>
      </c>
      <c r="F32" s="168">
        <v>83</v>
      </c>
      <c r="G32" s="162">
        <v>0</v>
      </c>
      <c r="H32" s="162">
        <v>0</v>
      </c>
      <c r="I32" s="164">
        <v>0</v>
      </c>
      <c r="J32" s="164">
        <v>0</v>
      </c>
      <c r="K32" s="164">
        <v>0</v>
      </c>
      <c r="L32" s="164">
        <v>0</v>
      </c>
      <c r="M32" s="164">
        <v>0</v>
      </c>
      <c r="N32" s="164">
        <v>0</v>
      </c>
      <c r="O32" s="152">
        <f t="shared" si="3"/>
        <v>0</v>
      </c>
      <c r="P32" s="148">
        <f t="shared" si="3"/>
        <v>0</v>
      </c>
      <c r="Q32" s="149">
        <f t="shared" si="4"/>
        <v>0</v>
      </c>
      <c r="R32" s="149">
        <f t="shared" si="4"/>
        <v>0</v>
      </c>
    </row>
    <row r="33" spans="1:18" ht="47.25" x14ac:dyDescent="0.25">
      <c r="A33" s="36" t="s">
        <v>158</v>
      </c>
      <c r="B33" s="143" t="s">
        <v>159</v>
      </c>
      <c r="C33" s="168" t="s">
        <v>105</v>
      </c>
      <c r="D33" s="35">
        <v>0.02</v>
      </c>
      <c r="E33" s="144" t="s">
        <v>110</v>
      </c>
      <c r="F33" s="169">
        <v>35</v>
      </c>
      <c r="G33" s="170">
        <v>93.5</v>
      </c>
      <c r="H33" s="170">
        <v>93.5</v>
      </c>
      <c r="I33" s="167">
        <v>95</v>
      </c>
      <c r="J33" s="167">
        <v>100</v>
      </c>
      <c r="K33" s="167">
        <v>100</v>
      </c>
      <c r="L33" s="167">
        <v>100</v>
      </c>
      <c r="M33" s="167">
        <v>100</v>
      </c>
      <c r="N33" s="167">
        <v>100</v>
      </c>
      <c r="O33" s="152">
        <f t="shared" si="3"/>
        <v>100</v>
      </c>
      <c r="P33" s="148">
        <f t="shared" si="3"/>
        <v>100</v>
      </c>
      <c r="Q33" s="149">
        <f t="shared" si="4"/>
        <v>100</v>
      </c>
      <c r="R33" s="149">
        <f t="shared" si="4"/>
        <v>100</v>
      </c>
    </row>
    <row r="34" spans="1:18" ht="47.25" x14ac:dyDescent="0.25">
      <c r="A34" s="36" t="s">
        <v>160</v>
      </c>
      <c r="B34" s="143" t="s">
        <v>161</v>
      </c>
      <c r="C34" s="168" t="s">
        <v>105</v>
      </c>
      <c r="D34" s="35">
        <v>0.02</v>
      </c>
      <c r="E34" s="144" t="s">
        <v>110</v>
      </c>
      <c r="F34" s="169">
        <v>45</v>
      </c>
      <c r="G34" s="170">
        <v>92</v>
      </c>
      <c r="H34" s="170">
        <v>92</v>
      </c>
      <c r="I34" s="167">
        <v>92</v>
      </c>
      <c r="J34" s="167">
        <v>100</v>
      </c>
      <c r="K34" s="167">
        <v>100</v>
      </c>
      <c r="L34" s="167">
        <v>100</v>
      </c>
      <c r="M34" s="167">
        <v>100</v>
      </c>
      <c r="N34" s="167">
        <v>100</v>
      </c>
      <c r="O34" s="152">
        <f t="shared" si="3"/>
        <v>100</v>
      </c>
      <c r="P34" s="148">
        <f t="shared" si="3"/>
        <v>100</v>
      </c>
      <c r="Q34" s="149">
        <f t="shared" si="4"/>
        <v>100</v>
      </c>
      <c r="R34" s="149">
        <f t="shared" si="4"/>
        <v>100</v>
      </c>
    </row>
    <row r="35" spans="1:18" ht="31.5" x14ac:dyDescent="0.25">
      <c r="A35" s="36" t="s">
        <v>162</v>
      </c>
      <c r="B35" s="143" t="s">
        <v>163</v>
      </c>
      <c r="C35" s="168" t="s">
        <v>105</v>
      </c>
      <c r="D35" s="35">
        <v>0.02</v>
      </c>
      <c r="E35" s="144" t="s">
        <v>110</v>
      </c>
      <c r="F35" s="169">
        <v>1</v>
      </c>
      <c r="G35" s="163">
        <v>96</v>
      </c>
      <c r="H35" s="163">
        <v>96.5</v>
      </c>
      <c r="I35" s="164">
        <v>97</v>
      </c>
      <c r="J35" s="164">
        <v>97</v>
      </c>
      <c r="K35" s="164">
        <v>98</v>
      </c>
      <c r="L35" s="164">
        <v>98</v>
      </c>
      <c r="M35" s="164">
        <v>98</v>
      </c>
      <c r="N35" s="164">
        <v>98</v>
      </c>
      <c r="O35" s="152">
        <f t="shared" si="3"/>
        <v>98</v>
      </c>
      <c r="P35" s="148">
        <f t="shared" si="3"/>
        <v>98</v>
      </c>
      <c r="Q35" s="149">
        <f t="shared" si="4"/>
        <v>98</v>
      </c>
      <c r="R35" s="149">
        <f t="shared" si="4"/>
        <v>98</v>
      </c>
    </row>
    <row r="36" spans="1:18" ht="94.5" x14ac:dyDescent="0.25">
      <c r="A36" s="36" t="s">
        <v>164</v>
      </c>
      <c r="B36" s="143" t="s">
        <v>165</v>
      </c>
      <c r="C36" s="144" t="s">
        <v>105</v>
      </c>
      <c r="D36" s="35">
        <v>0.02</v>
      </c>
      <c r="E36" s="144" t="s">
        <v>110</v>
      </c>
      <c r="F36" s="144" t="s">
        <v>135</v>
      </c>
      <c r="G36" s="163">
        <v>2.5</v>
      </c>
      <c r="H36" s="163">
        <v>3</v>
      </c>
      <c r="I36" s="164">
        <v>3.4</v>
      </c>
      <c r="J36" s="164">
        <v>2.4</v>
      </c>
      <c r="K36" s="164">
        <v>2.8</v>
      </c>
      <c r="L36" s="164">
        <v>2.8</v>
      </c>
      <c r="M36" s="164">
        <v>2.8</v>
      </c>
      <c r="N36" s="164">
        <v>2.8</v>
      </c>
      <c r="O36" s="152">
        <f t="shared" si="3"/>
        <v>2.8</v>
      </c>
      <c r="P36" s="148">
        <f t="shared" si="3"/>
        <v>2.8</v>
      </c>
      <c r="Q36" s="149">
        <f t="shared" si="4"/>
        <v>2.8</v>
      </c>
      <c r="R36" s="149">
        <f t="shared" si="4"/>
        <v>2.8</v>
      </c>
    </row>
    <row r="37" spans="1:18" s="58" customFormat="1" x14ac:dyDescent="0.25">
      <c r="A37" s="154" t="s">
        <v>166</v>
      </c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2"/>
      <c r="P37" s="148"/>
      <c r="Q37" s="149">
        <f t="shared" si="4"/>
        <v>0</v>
      </c>
      <c r="R37" s="149">
        <f t="shared" si="4"/>
        <v>0</v>
      </c>
    </row>
    <row r="38" spans="1:18" ht="31.5" x14ac:dyDescent="0.25">
      <c r="A38" s="171" t="s">
        <v>167</v>
      </c>
      <c r="B38" s="143" t="s">
        <v>168</v>
      </c>
      <c r="C38" s="35" t="s">
        <v>105</v>
      </c>
      <c r="D38" s="35">
        <v>0.03</v>
      </c>
      <c r="E38" s="145" t="s">
        <v>110</v>
      </c>
      <c r="F38" s="144">
        <v>70</v>
      </c>
      <c r="G38" s="163">
        <v>75</v>
      </c>
      <c r="H38" s="163">
        <v>75</v>
      </c>
      <c r="I38" s="172">
        <v>75</v>
      </c>
      <c r="J38" s="172">
        <v>93</v>
      </c>
      <c r="K38" s="172">
        <v>93</v>
      </c>
      <c r="L38" s="172">
        <v>75</v>
      </c>
      <c r="M38" s="172">
        <v>75</v>
      </c>
      <c r="N38" s="172">
        <v>75</v>
      </c>
      <c r="O38" s="152">
        <v>72</v>
      </c>
      <c r="P38" s="148">
        <v>74</v>
      </c>
      <c r="Q38" s="149">
        <v>74</v>
      </c>
      <c r="R38" s="149">
        <f t="shared" si="4"/>
        <v>74</v>
      </c>
    </row>
    <row r="39" spans="1:18" ht="31.5" x14ac:dyDescent="0.25">
      <c r="A39" s="171" t="s">
        <v>169</v>
      </c>
      <c r="B39" s="173" t="s">
        <v>170</v>
      </c>
      <c r="C39" s="37" t="s">
        <v>105</v>
      </c>
      <c r="D39" s="37">
        <v>0.03</v>
      </c>
      <c r="E39" s="174" t="s">
        <v>110</v>
      </c>
      <c r="F39" s="151"/>
      <c r="G39" s="170">
        <v>67</v>
      </c>
      <c r="H39" s="170">
        <v>70</v>
      </c>
      <c r="I39" s="147">
        <v>72</v>
      </c>
      <c r="J39" s="147">
        <v>72</v>
      </c>
      <c r="K39" s="147">
        <v>72</v>
      </c>
      <c r="L39" s="147">
        <v>72</v>
      </c>
      <c r="M39" s="147">
        <v>72</v>
      </c>
      <c r="N39" s="147">
        <v>72</v>
      </c>
      <c r="O39" s="152">
        <f t="shared" si="3"/>
        <v>72</v>
      </c>
      <c r="P39" s="148">
        <f t="shared" si="3"/>
        <v>72</v>
      </c>
      <c r="Q39" s="149">
        <f t="shared" si="4"/>
        <v>72</v>
      </c>
      <c r="R39" s="149">
        <f t="shared" si="4"/>
        <v>72</v>
      </c>
    </row>
    <row r="40" spans="1:18" ht="31.5" x14ac:dyDescent="0.25">
      <c r="A40" s="171" t="s">
        <v>171</v>
      </c>
      <c r="B40" s="173" t="s">
        <v>172</v>
      </c>
      <c r="C40" s="35" t="s">
        <v>105</v>
      </c>
      <c r="D40" s="35">
        <v>0.03</v>
      </c>
      <c r="E40" s="145" t="s">
        <v>110</v>
      </c>
      <c r="F40" s="144" t="s">
        <v>135</v>
      </c>
      <c r="G40" s="163">
        <v>15</v>
      </c>
      <c r="H40" s="163">
        <v>15</v>
      </c>
      <c r="I40" s="172">
        <v>16.5</v>
      </c>
      <c r="J40" s="172">
        <v>18.3</v>
      </c>
      <c r="K40" s="172">
        <v>19.100000000000001</v>
      </c>
      <c r="L40" s="172">
        <v>19.5</v>
      </c>
      <c r="M40" s="172">
        <v>19.5</v>
      </c>
      <c r="N40" s="172">
        <v>19.5</v>
      </c>
      <c r="O40" s="152">
        <f t="shared" si="3"/>
        <v>19.5</v>
      </c>
      <c r="P40" s="148">
        <f t="shared" si="3"/>
        <v>19.5</v>
      </c>
      <c r="Q40" s="149">
        <f t="shared" si="4"/>
        <v>19.5</v>
      </c>
      <c r="R40" s="149">
        <f t="shared" si="4"/>
        <v>19.5</v>
      </c>
    </row>
    <row r="41" spans="1:18" s="58" customFormat="1" x14ac:dyDescent="0.25">
      <c r="A41" s="154" t="s">
        <v>173</v>
      </c>
      <c r="B41" s="154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2">
        <f t="shared" si="3"/>
        <v>0</v>
      </c>
      <c r="P41" s="148">
        <f t="shared" si="3"/>
        <v>0</v>
      </c>
      <c r="Q41" s="149">
        <f t="shared" si="4"/>
        <v>0</v>
      </c>
      <c r="R41" s="149">
        <f t="shared" si="4"/>
        <v>0</v>
      </c>
    </row>
    <row r="42" spans="1:18" ht="63" x14ac:dyDescent="0.25">
      <c r="A42" s="171" t="s">
        <v>174</v>
      </c>
      <c r="B42" s="173" t="s">
        <v>175</v>
      </c>
      <c r="C42" s="35" t="s">
        <v>105</v>
      </c>
      <c r="D42" s="35">
        <v>0.03</v>
      </c>
      <c r="E42" s="145" t="s">
        <v>110</v>
      </c>
      <c r="F42" s="144">
        <v>78.400000000000006</v>
      </c>
      <c r="G42" s="172">
        <v>80.2</v>
      </c>
      <c r="H42" s="172">
        <v>80.400000000000006</v>
      </c>
      <c r="I42" s="172">
        <v>80.5</v>
      </c>
      <c r="J42" s="172">
        <v>80.5</v>
      </c>
      <c r="K42" s="172">
        <v>80.5</v>
      </c>
      <c r="L42" s="172">
        <v>80.5</v>
      </c>
      <c r="M42" s="172">
        <v>80.5</v>
      </c>
      <c r="N42" s="172">
        <v>80.5</v>
      </c>
      <c r="O42" s="152">
        <f t="shared" si="3"/>
        <v>80.5</v>
      </c>
      <c r="P42" s="148">
        <f t="shared" si="3"/>
        <v>80.5</v>
      </c>
      <c r="Q42" s="149">
        <f t="shared" si="4"/>
        <v>80.5</v>
      </c>
      <c r="R42" s="149">
        <f t="shared" si="4"/>
        <v>80.5</v>
      </c>
    </row>
    <row r="43" spans="1:18" s="58" customFormat="1" x14ac:dyDescent="0.25">
      <c r="A43" s="154" t="s">
        <v>176</v>
      </c>
      <c r="B43" s="154"/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5"/>
      <c r="O43" s="156"/>
      <c r="P43" s="118"/>
      <c r="Q43" s="157"/>
      <c r="R43" s="157"/>
    </row>
    <row r="44" spans="1:18" s="58" customFormat="1" x14ac:dyDescent="0.25">
      <c r="A44" s="154" t="s">
        <v>177</v>
      </c>
      <c r="B44" s="154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5"/>
      <c r="O44" s="156"/>
      <c r="P44" s="118"/>
      <c r="Q44" s="157"/>
      <c r="R44" s="157"/>
    </row>
    <row r="45" spans="1:18" s="58" customFormat="1" x14ac:dyDescent="0.25">
      <c r="A45" s="154" t="s">
        <v>178</v>
      </c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5"/>
      <c r="O45" s="156"/>
      <c r="P45" s="118"/>
      <c r="Q45" s="157"/>
      <c r="R45" s="157"/>
    </row>
    <row r="46" spans="1:18" ht="31.5" x14ac:dyDescent="0.25">
      <c r="A46" s="36" t="s">
        <v>179</v>
      </c>
      <c r="B46" s="143" t="s">
        <v>180</v>
      </c>
      <c r="C46" s="168" t="s">
        <v>105</v>
      </c>
      <c r="D46" s="35">
        <v>0.04</v>
      </c>
      <c r="E46" s="144" t="s">
        <v>110</v>
      </c>
      <c r="F46" s="152">
        <v>97.09</v>
      </c>
      <c r="G46" s="145">
        <v>82.9</v>
      </c>
      <c r="H46" s="145">
        <v>82.9</v>
      </c>
      <c r="I46" s="145">
        <v>93.2</v>
      </c>
      <c r="J46" s="145">
        <v>93.7</v>
      </c>
      <c r="K46" s="145">
        <v>94</v>
      </c>
      <c r="L46" s="145">
        <v>94</v>
      </c>
      <c r="M46" s="145">
        <v>94</v>
      </c>
      <c r="N46" s="145">
        <v>94</v>
      </c>
      <c r="O46" s="175">
        <v>94</v>
      </c>
      <c r="P46" s="176">
        <f>O46</f>
        <v>94</v>
      </c>
      <c r="Q46" s="149">
        <f t="shared" si="4"/>
        <v>94</v>
      </c>
      <c r="R46" s="149">
        <f t="shared" si="4"/>
        <v>94</v>
      </c>
    </row>
    <row r="47" spans="1:18" s="58" customFormat="1" x14ac:dyDescent="0.25">
      <c r="A47" s="154" t="s">
        <v>181</v>
      </c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77"/>
      <c r="P47" s="178"/>
      <c r="Q47" s="149">
        <f t="shared" si="4"/>
        <v>0</v>
      </c>
      <c r="R47" s="149">
        <f t="shared" si="4"/>
        <v>0</v>
      </c>
    </row>
    <row r="48" spans="1:18" ht="31.5" x14ac:dyDescent="0.25">
      <c r="A48" s="36" t="s">
        <v>182</v>
      </c>
      <c r="B48" s="179" t="s">
        <v>183</v>
      </c>
      <c r="C48" s="168" t="s">
        <v>105</v>
      </c>
      <c r="D48" s="35">
        <v>0.04</v>
      </c>
      <c r="E48" s="145" t="s">
        <v>110</v>
      </c>
      <c r="F48" s="180">
        <v>134</v>
      </c>
      <c r="G48" s="145">
        <v>73</v>
      </c>
      <c r="H48" s="145">
        <v>74</v>
      </c>
      <c r="I48" s="145">
        <v>89</v>
      </c>
      <c r="J48" s="145">
        <v>90</v>
      </c>
      <c r="K48" s="145">
        <v>92</v>
      </c>
      <c r="L48" s="145">
        <v>95</v>
      </c>
      <c r="M48" s="145">
        <v>95</v>
      </c>
      <c r="N48" s="145">
        <v>95</v>
      </c>
      <c r="O48" s="175">
        <v>95</v>
      </c>
      <c r="P48" s="176">
        <f>O48</f>
        <v>95</v>
      </c>
      <c r="Q48" s="149">
        <f t="shared" si="4"/>
        <v>95</v>
      </c>
      <c r="R48" s="149">
        <f t="shared" si="4"/>
        <v>95</v>
      </c>
    </row>
    <row r="49" spans="1:18" ht="47.25" x14ac:dyDescent="0.25">
      <c r="A49" s="36" t="s">
        <v>184</v>
      </c>
      <c r="B49" s="179" t="s">
        <v>185</v>
      </c>
      <c r="C49" s="168" t="s">
        <v>105</v>
      </c>
      <c r="D49" s="35">
        <v>0.04</v>
      </c>
      <c r="E49" s="144" t="s">
        <v>110</v>
      </c>
      <c r="F49" s="144">
        <v>15.6</v>
      </c>
      <c r="G49" s="145">
        <v>70</v>
      </c>
      <c r="H49" s="145">
        <v>70</v>
      </c>
      <c r="I49" s="145">
        <v>95</v>
      </c>
      <c r="J49" s="145">
        <v>97</v>
      </c>
      <c r="K49" s="145">
        <v>97</v>
      </c>
      <c r="L49" s="145">
        <v>98</v>
      </c>
      <c r="M49" s="145">
        <v>98</v>
      </c>
      <c r="N49" s="145">
        <v>98</v>
      </c>
      <c r="O49" s="175">
        <v>98</v>
      </c>
      <c r="P49" s="176">
        <f>O49</f>
        <v>98</v>
      </c>
      <c r="Q49" s="149">
        <f t="shared" si="4"/>
        <v>98</v>
      </c>
      <c r="R49" s="149">
        <f t="shared" si="4"/>
        <v>98</v>
      </c>
    </row>
    <row r="50" spans="1:18" s="58" customFormat="1" x14ac:dyDescent="0.25">
      <c r="A50" s="154" t="s">
        <v>186</v>
      </c>
      <c r="B50" s="154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5"/>
      <c r="O50" s="156"/>
      <c r="P50" s="118"/>
      <c r="Q50" s="157"/>
      <c r="R50" s="157"/>
    </row>
    <row r="51" spans="1:18" s="58" customFormat="1" x14ac:dyDescent="0.25">
      <c r="A51" s="154" t="s">
        <v>187</v>
      </c>
      <c r="B51" s="154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5"/>
      <c r="O51" s="156"/>
      <c r="P51" s="118"/>
      <c r="Q51" s="157"/>
      <c r="R51" s="157"/>
    </row>
    <row r="52" spans="1:18" s="58" customFormat="1" x14ac:dyDescent="0.25">
      <c r="A52" s="154" t="s">
        <v>188</v>
      </c>
      <c r="B52" s="154"/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5"/>
      <c r="O52" s="156"/>
      <c r="P52" s="118"/>
      <c r="Q52" s="157"/>
      <c r="R52" s="157"/>
    </row>
    <row r="53" spans="1:18" s="191" customFormat="1" ht="31.5" x14ac:dyDescent="0.25">
      <c r="A53" s="181" t="s">
        <v>189</v>
      </c>
      <c r="B53" s="182" t="s">
        <v>190</v>
      </c>
      <c r="C53" s="183" t="s">
        <v>191</v>
      </c>
      <c r="D53" s="184">
        <v>0.03</v>
      </c>
      <c r="E53" s="185" t="s">
        <v>21</v>
      </c>
      <c r="F53" s="186"/>
      <c r="G53" s="187">
        <v>1460</v>
      </c>
      <c r="H53" s="187">
        <v>1470</v>
      </c>
      <c r="I53" s="183">
        <v>1470</v>
      </c>
      <c r="J53" s="183">
        <v>2863</v>
      </c>
      <c r="K53" s="183">
        <v>3174</v>
      </c>
      <c r="L53" s="183">
        <v>3205</v>
      </c>
      <c r="M53" s="188">
        <v>3199</v>
      </c>
      <c r="N53" s="188">
        <v>3378</v>
      </c>
      <c r="O53" s="188">
        <v>4144</v>
      </c>
      <c r="P53" s="189">
        <f>O53</f>
        <v>4144</v>
      </c>
      <c r="Q53" s="190">
        <f t="shared" si="4"/>
        <v>4144</v>
      </c>
      <c r="R53" s="190">
        <f t="shared" si="4"/>
        <v>4144</v>
      </c>
    </row>
    <row r="54" spans="1:18" s="191" customFormat="1" ht="31.5" x14ac:dyDescent="0.25">
      <c r="A54" s="183" t="s">
        <v>192</v>
      </c>
      <c r="B54" s="182" t="s">
        <v>193</v>
      </c>
      <c r="C54" s="183" t="s">
        <v>191</v>
      </c>
      <c r="D54" s="183">
        <v>0.01</v>
      </c>
      <c r="E54" s="185" t="s">
        <v>21</v>
      </c>
      <c r="F54" s="186"/>
      <c r="G54" s="187">
        <v>28870</v>
      </c>
      <c r="H54" s="187">
        <v>29600</v>
      </c>
      <c r="I54" s="183">
        <v>30690</v>
      </c>
      <c r="J54" s="183">
        <v>32180</v>
      </c>
      <c r="K54" s="183">
        <v>33390</v>
      </c>
      <c r="L54" s="183">
        <v>38561</v>
      </c>
      <c r="M54" s="183">
        <v>38575</v>
      </c>
      <c r="N54" s="183">
        <v>42480</v>
      </c>
      <c r="O54" s="183">
        <v>61427</v>
      </c>
      <c r="P54" s="189">
        <f t="shared" ref="P54:P70" si="5">O54</f>
        <v>61427</v>
      </c>
      <c r="Q54" s="190">
        <f t="shared" si="4"/>
        <v>61427</v>
      </c>
      <c r="R54" s="190">
        <f t="shared" si="4"/>
        <v>61427</v>
      </c>
    </row>
    <row r="55" spans="1:18" s="191" customFormat="1" ht="63" x14ac:dyDescent="0.25">
      <c r="A55" s="181" t="s">
        <v>194</v>
      </c>
      <c r="B55" s="182" t="s">
        <v>195</v>
      </c>
      <c r="C55" s="183" t="s">
        <v>191</v>
      </c>
      <c r="D55" s="183">
        <v>0.01</v>
      </c>
      <c r="E55" s="185" t="s">
        <v>21</v>
      </c>
      <c r="F55" s="186"/>
      <c r="G55" s="187">
        <v>17972</v>
      </c>
      <c r="H55" s="187">
        <v>18638</v>
      </c>
      <c r="I55" s="183">
        <v>19328</v>
      </c>
      <c r="J55" s="183">
        <v>21911</v>
      </c>
      <c r="K55" s="183">
        <v>24405</v>
      </c>
      <c r="L55" s="183">
        <v>28687</v>
      </c>
      <c r="M55" s="183">
        <v>32078</v>
      </c>
      <c r="N55" s="183">
        <v>33427</v>
      </c>
      <c r="O55" s="183">
        <v>41961</v>
      </c>
      <c r="P55" s="189">
        <f t="shared" si="5"/>
        <v>41961</v>
      </c>
      <c r="Q55" s="190">
        <f t="shared" si="4"/>
        <v>41961</v>
      </c>
      <c r="R55" s="190">
        <f t="shared" si="4"/>
        <v>41961</v>
      </c>
    </row>
    <row r="56" spans="1:18" ht="31.5" x14ac:dyDescent="0.25">
      <c r="A56" s="36" t="s">
        <v>196</v>
      </c>
      <c r="B56" s="179" t="s">
        <v>197</v>
      </c>
      <c r="C56" s="144" t="s">
        <v>198</v>
      </c>
      <c r="D56" s="144">
        <v>0.02</v>
      </c>
      <c r="E56" s="192" t="s">
        <v>110</v>
      </c>
      <c r="F56" s="146"/>
      <c r="G56" s="11">
        <v>25.02</v>
      </c>
      <c r="H56" s="11">
        <v>25</v>
      </c>
      <c r="I56" s="144">
        <v>25</v>
      </c>
      <c r="J56" s="144">
        <v>23.9</v>
      </c>
      <c r="K56" s="144">
        <v>24</v>
      </c>
      <c r="L56" s="144">
        <v>24</v>
      </c>
      <c r="M56" s="144">
        <v>24</v>
      </c>
      <c r="N56" s="144">
        <v>25</v>
      </c>
      <c r="O56" s="144">
        <v>25</v>
      </c>
      <c r="P56" s="193">
        <v>25</v>
      </c>
      <c r="Q56" s="149">
        <f t="shared" si="4"/>
        <v>25</v>
      </c>
      <c r="R56" s="149">
        <f t="shared" si="4"/>
        <v>25</v>
      </c>
    </row>
    <row r="57" spans="1:18" ht="31.5" x14ac:dyDescent="0.25">
      <c r="A57" s="36" t="s">
        <v>199</v>
      </c>
      <c r="B57" s="179" t="s">
        <v>200</v>
      </c>
      <c r="C57" s="144" t="s">
        <v>198</v>
      </c>
      <c r="D57" s="144">
        <v>0.02</v>
      </c>
      <c r="E57" s="192" t="s">
        <v>110</v>
      </c>
      <c r="F57" s="146"/>
      <c r="G57" s="11">
        <v>18.82</v>
      </c>
      <c r="H57" s="11">
        <v>18.82</v>
      </c>
      <c r="I57" s="144">
        <v>18.8</v>
      </c>
      <c r="J57" s="144">
        <v>17</v>
      </c>
      <c r="K57" s="144">
        <v>17</v>
      </c>
      <c r="L57" s="144">
        <v>17</v>
      </c>
      <c r="M57" s="144">
        <v>17</v>
      </c>
      <c r="N57" s="144">
        <v>17</v>
      </c>
      <c r="O57" s="144">
        <v>17</v>
      </c>
      <c r="P57" s="193">
        <f t="shared" si="5"/>
        <v>17</v>
      </c>
      <c r="Q57" s="149">
        <f t="shared" si="4"/>
        <v>17</v>
      </c>
      <c r="R57" s="149">
        <f t="shared" si="4"/>
        <v>17</v>
      </c>
    </row>
    <row r="58" spans="1:18" ht="78.75" x14ac:dyDescent="0.25">
      <c r="A58" s="144" t="s">
        <v>201</v>
      </c>
      <c r="B58" s="179" t="s">
        <v>202</v>
      </c>
      <c r="C58" s="144" t="s">
        <v>203</v>
      </c>
      <c r="D58" s="144">
        <v>0.02</v>
      </c>
      <c r="E58" s="192" t="s">
        <v>110</v>
      </c>
      <c r="F58" s="146"/>
      <c r="G58" s="11">
        <v>0.7</v>
      </c>
      <c r="H58" s="11">
        <v>0.7</v>
      </c>
      <c r="I58" s="144">
        <v>0.7</v>
      </c>
      <c r="J58" s="144">
        <v>0.7</v>
      </c>
      <c r="K58" s="144">
        <v>0.7</v>
      </c>
      <c r="L58" s="144">
        <v>0.7</v>
      </c>
      <c r="M58" s="144">
        <v>0.7</v>
      </c>
      <c r="N58" s="144">
        <v>0.5</v>
      </c>
      <c r="O58" s="144">
        <v>0.5</v>
      </c>
      <c r="P58" s="159">
        <v>0.5</v>
      </c>
      <c r="Q58" s="149">
        <f t="shared" si="4"/>
        <v>0.5</v>
      </c>
      <c r="R58" s="149">
        <f t="shared" si="4"/>
        <v>0.5</v>
      </c>
    </row>
    <row r="59" spans="1:18" ht="31.5" x14ac:dyDescent="0.25">
      <c r="A59" s="144" t="s">
        <v>204</v>
      </c>
      <c r="B59" s="179" t="s">
        <v>205</v>
      </c>
      <c r="C59" s="144" t="s">
        <v>140</v>
      </c>
      <c r="D59" s="144">
        <v>0.03</v>
      </c>
      <c r="E59" s="192" t="s">
        <v>21</v>
      </c>
      <c r="F59" s="146"/>
      <c r="G59" s="144">
        <v>18</v>
      </c>
      <c r="H59" s="144">
        <v>18</v>
      </c>
      <c r="I59" s="144">
        <v>18</v>
      </c>
      <c r="J59" s="144">
        <v>14</v>
      </c>
      <c r="K59" s="144">
        <v>14</v>
      </c>
      <c r="L59" s="144">
        <v>14</v>
      </c>
      <c r="M59" s="144">
        <v>14</v>
      </c>
      <c r="N59" s="144">
        <v>14</v>
      </c>
      <c r="O59" s="144">
        <v>14</v>
      </c>
      <c r="P59" s="193">
        <f t="shared" si="5"/>
        <v>14</v>
      </c>
      <c r="Q59" s="149">
        <f t="shared" si="4"/>
        <v>14</v>
      </c>
      <c r="R59" s="149">
        <f t="shared" si="4"/>
        <v>14</v>
      </c>
    </row>
    <row r="60" spans="1:18" ht="66" customHeight="1" x14ac:dyDescent="0.25">
      <c r="A60" s="144" t="s">
        <v>206</v>
      </c>
      <c r="B60" s="179" t="s">
        <v>207</v>
      </c>
      <c r="C60" s="144" t="s">
        <v>208</v>
      </c>
      <c r="D60" s="144">
        <v>0.01</v>
      </c>
      <c r="E60" s="192" t="s">
        <v>209</v>
      </c>
      <c r="F60" s="146"/>
      <c r="G60" s="144">
        <v>5</v>
      </c>
      <c r="H60" s="144">
        <v>5</v>
      </c>
      <c r="I60" s="144">
        <v>5</v>
      </c>
      <c r="J60" s="144">
        <v>5</v>
      </c>
      <c r="K60" s="144">
        <v>5</v>
      </c>
      <c r="L60" s="144">
        <v>5</v>
      </c>
      <c r="M60" s="144">
        <v>5</v>
      </c>
      <c r="N60" s="144">
        <v>5</v>
      </c>
      <c r="O60" s="144">
        <v>5</v>
      </c>
      <c r="P60" s="193">
        <f t="shared" si="5"/>
        <v>5</v>
      </c>
      <c r="Q60" s="149">
        <f t="shared" si="4"/>
        <v>5</v>
      </c>
      <c r="R60" s="149">
        <f t="shared" si="4"/>
        <v>5</v>
      </c>
    </row>
    <row r="61" spans="1:18" ht="47.25" x14ac:dyDescent="0.25">
      <c r="A61" s="144" t="s">
        <v>210</v>
      </c>
      <c r="B61" s="179" t="s">
        <v>211</v>
      </c>
      <c r="C61" s="144" t="s">
        <v>208</v>
      </c>
      <c r="D61" s="144">
        <v>0.01</v>
      </c>
      <c r="E61" s="192" t="s">
        <v>209</v>
      </c>
      <c r="F61" s="146"/>
      <c r="G61" s="35">
        <v>5</v>
      </c>
      <c r="H61" s="35">
        <v>5</v>
      </c>
      <c r="I61" s="35">
        <v>5</v>
      </c>
      <c r="J61" s="35">
        <v>5</v>
      </c>
      <c r="K61" s="35">
        <v>5</v>
      </c>
      <c r="L61" s="35">
        <v>5</v>
      </c>
      <c r="M61" s="35">
        <v>5</v>
      </c>
      <c r="N61" s="35">
        <v>5</v>
      </c>
      <c r="O61" s="35">
        <v>5</v>
      </c>
      <c r="P61" s="193">
        <f t="shared" si="5"/>
        <v>5</v>
      </c>
      <c r="Q61" s="149">
        <f t="shared" si="4"/>
        <v>5</v>
      </c>
      <c r="R61" s="149">
        <f t="shared" si="4"/>
        <v>5</v>
      </c>
    </row>
    <row r="62" spans="1:18" ht="126" x14ac:dyDescent="0.25">
      <c r="A62" s="144" t="s">
        <v>212</v>
      </c>
      <c r="B62" s="179" t="s">
        <v>213</v>
      </c>
      <c r="C62" s="144" t="s">
        <v>208</v>
      </c>
      <c r="D62" s="144">
        <v>0.01</v>
      </c>
      <c r="E62" s="192" t="s">
        <v>209</v>
      </c>
      <c r="F62" s="146"/>
      <c r="G62" s="35">
        <v>5</v>
      </c>
      <c r="H62" s="35">
        <v>5</v>
      </c>
      <c r="I62" s="35">
        <v>5</v>
      </c>
      <c r="J62" s="35">
        <v>5</v>
      </c>
      <c r="K62" s="35">
        <v>5</v>
      </c>
      <c r="L62" s="35">
        <v>5</v>
      </c>
      <c r="M62" s="35">
        <v>5</v>
      </c>
      <c r="N62" s="35">
        <v>5</v>
      </c>
      <c r="O62" s="35">
        <v>5</v>
      </c>
      <c r="P62" s="193">
        <f t="shared" si="5"/>
        <v>5</v>
      </c>
      <c r="Q62" s="149">
        <f t="shared" si="4"/>
        <v>5</v>
      </c>
      <c r="R62" s="149">
        <f t="shared" si="4"/>
        <v>5</v>
      </c>
    </row>
    <row r="63" spans="1:18" ht="94.5" x14ac:dyDescent="0.25">
      <c r="A63" s="144" t="s">
        <v>214</v>
      </c>
      <c r="B63" s="179" t="s">
        <v>215</v>
      </c>
      <c r="C63" s="144" t="s">
        <v>208</v>
      </c>
      <c r="D63" s="144">
        <v>0.01</v>
      </c>
      <c r="E63" s="192" t="s">
        <v>209</v>
      </c>
      <c r="F63" s="146"/>
      <c r="G63" s="35">
        <v>5</v>
      </c>
      <c r="H63" s="35">
        <v>5</v>
      </c>
      <c r="I63" s="35">
        <v>5</v>
      </c>
      <c r="J63" s="35">
        <v>5</v>
      </c>
      <c r="K63" s="35">
        <v>5</v>
      </c>
      <c r="L63" s="35">
        <v>5</v>
      </c>
      <c r="M63" s="35">
        <v>5</v>
      </c>
      <c r="N63" s="35">
        <v>5</v>
      </c>
      <c r="O63" s="35">
        <v>5</v>
      </c>
      <c r="P63" s="193">
        <f t="shared" si="5"/>
        <v>5</v>
      </c>
      <c r="Q63" s="149">
        <f t="shared" si="4"/>
        <v>5</v>
      </c>
      <c r="R63" s="149">
        <f t="shared" si="4"/>
        <v>5</v>
      </c>
    </row>
    <row r="64" spans="1:18" ht="47.25" x14ac:dyDescent="0.25">
      <c r="A64" s="144" t="s">
        <v>216</v>
      </c>
      <c r="B64" s="194" t="s">
        <v>217</v>
      </c>
      <c r="C64" s="144" t="s">
        <v>208</v>
      </c>
      <c r="D64" s="144">
        <v>0.01</v>
      </c>
      <c r="E64" s="192" t="s">
        <v>209</v>
      </c>
      <c r="F64" s="146"/>
      <c r="G64" s="35">
        <v>5</v>
      </c>
      <c r="H64" s="35">
        <v>5</v>
      </c>
      <c r="I64" s="35">
        <v>5</v>
      </c>
      <c r="J64" s="35">
        <v>5</v>
      </c>
      <c r="K64" s="35">
        <v>5</v>
      </c>
      <c r="L64" s="35">
        <v>5</v>
      </c>
      <c r="M64" s="35">
        <v>5</v>
      </c>
      <c r="N64" s="35">
        <v>5</v>
      </c>
      <c r="O64" s="35">
        <v>5</v>
      </c>
      <c r="P64" s="193">
        <f t="shared" si="5"/>
        <v>5</v>
      </c>
      <c r="Q64" s="149">
        <f t="shared" si="4"/>
        <v>5</v>
      </c>
      <c r="R64" s="149">
        <f t="shared" si="4"/>
        <v>5</v>
      </c>
    </row>
    <row r="65" spans="1:18" ht="47.25" x14ac:dyDescent="0.25">
      <c r="A65" s="144" t="s">
        <v>218</v>
      </c>
      <c r="B65" s="194" t="s">
        <v>219</v>
      </c>
      <c r="C65" s="144" t="s">
        <v>208</v>
      </c>
      <c r="D65" s="144">
        <v>0.01</v>
      </c>
      <c r="E65" s="192" t="s">
        <v>209</v>
      </c>
      <c r="F65" s="146"/>
      <c r="G65" s="35">
        <v>5</v>
      </c>
      <c r="H65" s="35">
        <v>5</v>
      </c>
      <c r="I65" s="35">
        <v>5</v>
      </c>
      <c r="J65" s="35">
        <v>5</v>
      </c>
      <c r="K65" s="35">
        <v>5</v>
      </c>
      <c r="L65" s="35">
        <v>5</v>
      </c>
      <c r="M65" s="35">
        <v>5</v>
      </c>
      <c r="N65" s="35">
        <v>5</v>
      </c>
      <c r="O65" s="35">
        <v>5</v>
      </c>
      <c r="P65" s="193">
        <f t="shared" si="5"/>
        <v>5</v>
      </c>
      <c r="Q65" s="149">
        <f t="shared" si="4"/>
        <v>5</v>
      </c>
      <c r="R65" s="149">
        <f t="shared" si="4"/>
        <v>5</v>
      </c>
    </row>
    <row r="66" spans="1:18" ht="47.25" x14ac:dyDescent="0.25">
      <c r="A66" s="36" t="s">
        <v>220</v>
      </c>
      <c r="B66" s="179" t="s">
        <v>221</v>
      </c>
      <c r="C66" s="144" t="s">
        <v>208</v>
      </c>
      <c r="D66" s="144">
        <v>0.01</v>
      </c>
      <c r="E66" s="192" t="s">
        <v>209</v>
      </c>
      <c r="F66" s="146"/>
      <c r="G66" s="35">
        <v>5</v>
      </c>
      <c r="H66" s="35">
        <v>5</v>
      </c>
      <c r="I66" s="35">
        <v>5</v>
      </c>
      <c r="J66" s="35">
        <v>5</v>
      </c>
      <c r="K66" s="35">
        <v>5</v>
      </c>
      <c r="L66" s="35">
        <v>5</v>
      </c>
      <c r="M66" s="35">
        <v>5</v>
      </c>
      <c r="N66" s="35">
        <v>5</v>
      </c>
      <c r="O66" s="35">
        <v>5</v>
      </c>
      <c r="P66" s="193">
        <f t="shared" si="5"/>
        <v>5</v>
      </c>
      <c r="Q66" s="149">
        <f t="shared" si="4"/>
        <v>5</v>
      </c>
      <c r="R66" s="149">
        <f t="shared" si="4"/>
        <v>5</v>
      </c>
    </row>
    <row r="67" spans="1:18" ht="47.25" x14ac:dyDescent="0.25">
      <c r="A67" s="36" t="s">
        <v>222</v>
      </c>
      <c r="B67" s="179" t="s">
        <v>223</v>
      </c>
      <c r="C67" s="144" t="s">
        <v>208</v>
      </c>
      <c r="D67" s="144">
        <v>0.01</v>
      </c>
      <c r="E67" s="192" t="s">
        <v>209</v>
      </c>
      <c r="F67" s="146"/>
      <c r="G67" s="35">
        <v>5</v>
      </c>
      <c r="H67" s="35">
        <v>5</v>
      </c>
      <c r="I67" s="35">
        <v>5</v>
      </c>
      <c r="J67" s="35">
        <v>5</v>
      </c>
      <c r="K67" s="35">
        <v>5</v>
      </c>
      <c r="L67" s="35">
        <v>5</v>
      </c>
      <c r="M67" s="35">
        <v>5</v>
      </c>
      <c r="N67" s="35">
        <v>5</v>
      </c>
      <c r="O67" s="35">
        <v>5</v>
      </c>
      <c r="P67" s="193">
        <f t="shared" si="5"/>
        <v>5</v>
      </c>
      <c r="Q67" s="149">
        <f t="shared" si="4"/>
        <v>5</v>
      </c>
      <c r="R67" s="149">
        <f t="shared" si="4"/>
        <v>5</v>
      </c>
    </row>
    <row r="68" spans="1:18" ht="47.25" x14ac:dyDescent="0.25">
      <c r="A68" s="36" t="s">
        <v>224</v>
      </c>
      <c r="B68" s="179" t="s">
        <v>225</v>
      </c>
      <c r="C68" s="144" t="s">
        <v>208</v>
      </c>
      <c r="D68" s="144">
        <v>0.01</v>
      </c>
      <c r="E68" s="192" t="s">
        <v>209</v>
      </c>
      <c r="F68" s="146"/>
      <c r="G68" s="35">
        <v>5</v>
      </c>
      <c r="H68" s="35">
        <v>5</v>
      </c>
      <c r="I68" s="35">
        <v>5</v>
      </c>
      <c r="J68" s="35">
        <v>5</v>
      </c>
      <c r="K68" s="35">
        <v>5</v>
      </c>
      <c r="L68" s="35">
        <v>5</v>
      </c>
      <c r="M68" s="35">
        <v>5</v>
      </c>
      <c r="N68" s="35">
        <v>5</v>
      </c>
      <c r="O68" s="35">
        <v>5</v>
      </c>
      <c r="P68" s="193">
        <f t="shared" si="5"/>
        <v>5</v>
      </c>
      <c r="Q68" s="149">
        <f t="shared" si="4"/>
        <v>5</v>
      </c>
      <c r="R68" s="149">
        <f t="shared" si="4"/>
        <v>5</v>
      </c>
    </row>
    <row r="69" spans="1:18" ht="47.25" x14ac:dyDescent="0.25">
      <c r="A69" s="36" t="s">
        <v>226</v>
      </c>
      <c r="B69" s="179" t="s">
        <v>227</v>
      </c>
      <c r="C69" s="144" t="s">
        <v>208</v>
      </c>
      <c r="D69" s="144">
        <v>0.01</v>
      </c>
      <c r="E69" s="192" t="s">
        <v>209</v>
      </c>
      <c r="F69" s="146"/>
      <c r="G69" s="35">
        <v>5</v>
      </c>
      <c r="H69" s="35">
        <v>5</v>
      </c>
      <c r="I69" s="35">
        <v>5</v>
      </c>
      <c r="J69" s="35">
        <v>5</v>
      </c>
      <c r="K69" s="35">
        <v>5</v>
      </c>
      <c r="L69" s="35">
        <v>5</v>
      </c>
      <c r="M69" s="35">
        <v>5</v>
      </c>
      <c r="N69" s="35">
        <v>5</v>
      </c>
      <c r="O69" s="35">
        <v>5</v>
      </c>
      <c r="P69" s="193">
        <f t="shared" si="5"/>
        <v>5</v>
      </c>
      <c r="Q69" s="149">
        <f t="shared" si="4"/>
        <v>5</v>
      </c>
      <c r="R69" s="149">
        <f t="shared" si="4"/>
        <v>5</v>
      </c>
    </row>
    <row r="70" spans="1:18" ht="47.25" x14ac:dyDescent="0.25">
      <c r="A70" s="36" t="s">
        <v>228</v>
      </c>
      <c r="B70" s="179" t="s">
        <v>229</v>
      </c>
      <c r="C70" s="144" t="s">
        <v>208</v>
      </c>
      <c r="D70" s="144">
        <v>0.01</v>
      </c>
      <c r="E70" s="192" t="s">
        <v>209</v>
      </c>
      <c r="F70" s="146"/>
      <c r="G70" s="35">
        <v>5</v>
      </c>
      <c r="H70" s="35">
        <v>5</v>
      </c>
      <c r="I70" s="35">
        <v>5</v>
      </c>
      <c r="J70" s="35">
        <v>5</v>
      </c>
      <c r="K70" s="35">
        <v>5</v>
      </c>
      <c r="L70" s="35">
        <v>5</v>
      </c>
      <c r="M70" s="35">
        <v>5</v>
      </c>
      <c r="N70" s="35">
        <v>5</v>
      </c>
      <c r="O70" s="35">
        <v>5</v>
      </c>
      <c r="P70" s="193">
        <f t="shared" si="5"/>
        <v>5</v>
      </c>
      <c r="Q70" s="149">
        <f t="shared" si="4"/>
        <v>5</v>
      </c>
      <c r="R70" s="149">
        <f t="shared" si="4"/>
        <v>5</v>
      </c>
    </row>
    <row r="71" spans="1:18" s="58" customFormat="1" x14ac:dyDescent="0.25">
      <c r="A71" s="154" t="s">
        <v>230</v>
      </c>
      <c r="B71" s="154"/>
      <c r="C71" s="154"/>
      <c r="D71" s="154"/>
      <c r="E71" s="154"/>
      <c r="F71" s="154"/>
      <c r="G71" s="154"/>
      <c r="H71" s="154"/>
      <c r="I71" s="154"/>
      <c r="J71" s="154"/>
      <c r="K71" s="154"/>
      <c r="L71" s="154"/>
      <c r="M71" s="154"/>
      <c r="N71" s="154"/>
      <c r="O71" s="177"/>
      <c r="Q71" s="157"/>
      <c r="R71" s="157"/>
    </row>
    <row r="72" spans="1:18" s="197" customFormat="1" ht="47.25" x14ac:dyDescent="0.25">
      <c r="A72" s="195" t="s">
        <v>231</v>
      </c>
      <c r="B72" s="196" t="s">
        <v>232</v>
      </c>
      <c r="C72" s="37" t="s">
        <v>233</v>
      </c>
      <c r="D72" s="144">
        <v>0.03</v>
      </c>
      <c r="E72" s="144" t="s">
        <v>110</v>
      </c>
      <c r="F72" s="195"/>
      <c r="G72" s="12">
        <v>70</v>
      </c>
      <c r="H72" s="12">
        <v>70</v>
      </c>
      <c r="I72" s="12">
        <v>71</v>
      </c>
      <c r="J72" s="12">
        <v>71</v>
      </c>
      <c r="K72" s="12">
        <v>71</v>
      </c>
      <c r="L72" s="144">
        <v>71</v>
      </c>
      <c r="M72" s="144">
        <v>71</v>
      </c>
      <c r="N72" s="144">
        <v>71</v>
      </c>
      <c r="O72" s="144">
        <v>71</v>
      </c>
      <c r="P72" s="178">
        <f>O72</f>
        <v>71</v>
      </c>
      <c r="Q72" s="149">
        <f t="shared" si="4"/>
        <v>71</v>
      </c>
      <c r="R72" s="149">
        <f t="shared" si="4"/>
        <v>71</v>
      </c>
    </row>
    <row r="73" spans="1:18" s="197" customFormat="1" x14ac:dyDescent="0.25">
      <c r="A73" s="198" t="s">
        <v>234</v>
      </c>
      <c r="B73" s="199" t="s">
        <v>235</v>
      </c>
      <c r="C73" s="200" t="s">
        <v>233</v>
      </c>
      <c r="D73" s="140">
        <v>0.03</v>
      </c>
      <c r="E73" s="140" t="s">
        <v>110</v>
      </c>
      <c r="F73" s="195"/>
      <c r="G73" s="140" t="s">
        <v>236</v>
      </c>
      <c r="H73" s="140" t="s">
        <v>237</v>
      </c>
      <c r="I73" s="140" t="s">
        <v>238</v>
      </c>
      <c r="J73" s="140" t="s">
        <v>239</v>
      </c>
      <c r="K73" s="140" t="s">
        <v>240</v>
      </c>
      <c r="L73" s="140" t="s">
        <v>241</v>
      </c>
      <c r="M73" s="140" t="s">
        <v>242</v>
      </c>
      <c r="N73" s="140" t="s">
        <v>242</v>
      </c>
      <c r="O73" s="140" t="s">
        <v>242</v>
      </c>
      <c r="P73" s="201" t="str">
        <f>O73</f>
        <v>89(57)</v>
      </c>
      <c r="Q73" s="202" t="str">
        <f t="shared" si="4"/>
        <v>89(57)</v>
      </c>
      <c r="R73" s="202" t="str">
        <f t="shared" si="4"/>
        <v>89(57)</v>
      </c>
    </row>
    <row r="74" spans="1:18" s="58" customFormat="1" x14ac:dyDescent="0.25">
      <c r="A74" s="198"/>
      <c r="B74" s="199"/>
      <c r="C74" s="200"/>
      <c r="D74" s="140"/>
      <c r="E74" s="140"/>
      <c r="F74" s="195"/>
      <c r="G74" s="140"/>
      <c r="H74" s="140"/>
      <c r="I74" s="140"/>
      <c r="J74" s="140"/>
      <c r="K74" s="140"/>
      <c r="L74" s="140"/>
      <c r="M74" s="140"/>
      <c r="N74" s="140"/>
      <c r="O74" s="140"/>
      <c r="P74" s="203"/>
      <c r="Q74" s="202"/>
      <c r="R74" s="202"/>
    </row>
    <row r="76" spans="1:18" x14ac:dyDescent="0.25">
      <c r="A76" s="204" t="s">
        <v>33</v>
      </c>
      <c r="B76" s="204"/>
      <c r="C76" s="204"/>
      <c r="D76" s="204"/>
      <c r="E76" s="204"/>
      <c r="F76" s="204"/>
      <c r="G76" s="204"/>
      <c r="H76" s="204"/>
      <c r="I76" s="204"/>
      <c r="J76" s="205" t="s">
        <v>243</v>
      </c>
      <c r="K76" s="205"/>
      <c r="L76" s="205"/>
      <c r="M76" s="205"/>
      <c r="N76" s="206"/>
      <c r="O76" s="206"/>
    </row>
  </sheetData>
  <mergeCells count="57">
    <mergeCell ref="N73:N74"/>
    <mergeCell ref="O73:O74"/>
    <mergeCell ref="P73:P74"/>
    <mergeCell ref="Q73:Q74"/>
    <mergeCell ref="R73:R74"/>
    <mergeCell ref="A76:I76"/>
    <mergeCell ref="J76:M76"/>
    <mergeCell ref="H73:H74"/>
    <mergeCell ref="I73:I74"/>
    <mergeCell ref="J73:J74"/>
    <mergeCell ref="K73:K74"/>
    <mergeCell ref="L73:L74"/>
    <mergeCell ref="M73:M74"/>
    <mergeCell ref="A50:N50"/>
    <mergeCell ref="A51:N51"/>
    <mergeCell ref="A52:N52"/>
    <mergeCell ref="A71:N71"/>
    <mergeCell ref="A73:A74"/>
    <mergeCell ref="B73:B74"/>
    <mergeCell ref="C73:C74"/>
    <mergeCell ref="D73:D74"/>
    <mergeCell ref="E73:E74"/>
    <mergeCell ref="G73:G74"/>
    <mergeCell ref="A37:N37"/>
    <mergeCell ref="A41:N41"/>
    <mergeCell ref="A43:N43"/>
    <mergeCell ref="A44:N44"/>
    <mergeCell ref="A45:N45"/>
    <mergeCell ref="A47:N47"/>
    <mergeCell ref="A12:N12"/>
    <mergeCell ref="A13:N13"/>
    <mergeCell ref="A18:N18"/>
    <mergeCell ref="A19:N19"/>
    <mergeCell ref="A20:N20"/>
    <mergeCell ref="A26:N26"/>
    <mergeCell ref="O3:O5"/>
    <mergeCell ref="P3:P5"/>
    <mergeCell ref="Q3:Q5"/>
    <mergeCell ref="R3:R5"/>
    <mergeCell ref="A6:N6"/>
    <mergeCell ref="A11:N11"/>
    <mergeCell ref="I3:I5"/>
    <mergeCell ref="J3:J5"/>
    <mergeCell ref="K3:K5"/>
    <mergeCell ref="L3:L5"/>
    <mergeCell ref="M3:M5"/>
    <mergeCell ref="N3:N5"/>
    <mergeCell ref="G1:P1"/>
    <mergeCell ref="A2:M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11811023622047245" top="0.55118110236220474" bottom="0.19685039370078741" header="0.31496062992125984" footer="0.31496062992125984"/>
  <pageSetup paperSize="9" scale="55" fitToHeight="99" orientation="landscape" r:id="rId1"/>
  <headerFooter differentFirst="1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fitToPage="1"/>
  </sheetPr>
  <dimension ref="A1:Y17"/>
  <sheetViews>
    <sheetView view="pageBreakPreview" topLeftCell="C1" zoomScaleNormal="100" zoomScaleSheetLayoutView="100" workbookViewId="0">
      <selection activeCell="K54" sqref="K54"/>
    </sheetView>
  </sheetViews>
  <sheetFormatPr defaultRowHeight="15.75" x14ac:dyDescent="0.25"/>
  <cols>
    <col min="1" max="1" width="5.140625" style="47" customWidth="1"/>
    <col min="2" max="2" width="57.42578125" style="1" customWidth="1"/>
    <col min="3" max="3" width="11.7109375" style="1" customWidth="1"/>
    <col min="4" max="4" width="10.42578125" style="1" hidden="1" customWidth="1"/>
    <col min="5" max="6" width="10.5703125" style="1" hidden="1" customWidth="1"/>
    <col min="7" max="7" width="9.42578125" style="1" bestFit="1" customWidth="1"/>
    <col min="8" max="15" width="10.5703125" style="1" customWidth="1"/>
    <col min="16" max="16" width="10.42578125" style="1" customWidth="1"/>
    <col min="17" max="25" width="11.140625" style="1" customWidth="1"/>
    <col min="26" max="16384" width="9.140625" style="1"/>
  </cols>
  <sheetData>
    <row r="1" spans="1:25" ht="78" customHeight="1" x14ac:dyDescent="0.25">
      <c r="K1" s="208"/>
      <c r="L1" s="208"/>
      <c r="M1" s="209"/>
      <c r="N1" s="209"/>
      <c r="O1" s="209"/>
      <c r="P1" s="209"/>
      <c r="Q1" s="209"/>
      <c r="R1" s="210" t="s">
        <v>244</v>
      </c>
      <c r="S1" s="210"/>
      <c r="T1" s="210"/>
      <c r="U1" s="210"/>
      <c r="V1" s="210"/>
      <c r="W1" s="211"/>
      <c r="X1" s="211"/>
      <c r="Y1" s="211"/>
    </row>
    <row r="2" spans="1:25" ht="34.5" customHeight="1" x14ac:dyDescent="0.25">
      <c r="A2" s="212" t="s">
        <v>245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3"/>
      <c r="R2" s="214"/>
      <c r="S2" s="214"/>
      <c r="T2" s="214"/>
      <c r="U2" s="214"/>
      <c r="V2" s="214"/>
      <c r="W2" s="214"/>
      <c r="X2" s="214"/>
      <c r="Y2" s="214"/>
    </row>
    <row r="3" spans="1:25" ht="17.25" customHeight="1" x14ac:dyDescent="0.25">
      <c r="A3" s="7" t="s">
        <v>97</v>
      </c>
      <c r="B3" s="7" t="s">
        <v>246</v>
      </c>
      <c r="C3" s="7" t="s">
        <v>99</v>
      </c>
      <c r="D3" s="53" t="s">
        <v>247</v>
      </c>
      <c r="E3" s="53" t="s">
        <v>102</v>
      </c>
      <c r="F3" s="53" t="s">
        <v>248</v>
      </c>
      <c r="G3" s="7" t="s">
        <v>249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215" t="s">
        <v>250</v>
      </c>
      <c r="U3" s="215"/>
      <c r="V3" s="215"/>
      <c r="W3" s="215"/>
      <c r="X3" s="216"/>
      <c r="Y3" s="217"/>
    </row>
    <row r="4" spans="1:25" ht="33" customHeight="1" x14ac:dyDescent="0.25">
      <c r="A4" s="7"/>
      <c r="B4" s="7"/>
      <c r="C4" s="7"/>
      <c r="D4" s="53"/>
      <c r="E4" s="53"/>
      <c r="F4" s="53"/>
      <c r="G4" s="218" t="s">
        <v>251</v>
      </c>
      <c r="H4" s="219" t="s">
        <v>42</v>
      </c>
      <c r="I4" s="11" t="s">
        <v>43</v>
      </c>
      <c r="J4" s="11" t="s">
        <v>44</v>
      </c>
      <c r="K4" s="11" t="s">
        <v>45</v>
      </c>
      <c r="L4" s="11" t="s">
        <v>46</v>
      </c>
      <c r="M4" s="11" t="s">
        <v>47</v>
      </c>
      <c r="N4" s="11" t="s">
        <v>48</v>
      </c>
      <c r="O4" s="11" t="s">
        <v>49</v>
      </c>
      <c r="P4" s="11" t="s">
        <v>50</v>
      </c>
      <c r="Q4" s="17" t="s">
        <v>51</v>
      </c>
      <c r="R4" s="17" t="s">
        <v>52</v>
      </c>
      <c r="S4" s="17" t="s">
        <v>53</v>
      </c>
      <c r="T4" s="17" t="s">
        <v>252</v>
      </c>
      <c r="U4" s="17" t="s">
        <v>253</v>
      </c>
      <c r="V4" s="17" t="s">
        <v>254</v>
      </c>
      <c r="W4" s="17" t="s">
        <v>255</v>
      </c>
      <c r="X4" s="17" t="s">
        <v>256</v>
      </c>
      <c r="Y4" s="217"/>
    </row>
    <row r="5" spans="1:25" ht="55.15" customHeight="1" x14ac:dyDescent="0.25">
      <c r="A5" s="220" t="s">
        <v>103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2"/>
      <c r="R5" s="223"/>
      <c r="S5" s="223"/>
      <c r="T5" s="223"/>
      <c r="U5" s="223"/>
      <c r="V5" s="223"/>
      <c r="W5" s="223"/>
      <c r="X5" s="223"/>
      <c r="Y5" s="223"/>
    </row>
    <row r="6" spans="1:25" ht="56.25" customHeight="1" x14ac:dyDescent="0.25">
      <c r="A6" s="11">
        <v>1</v>
      </c>
      <c r="B6" s="143" t="s">
        <v>104</v>
      </c>
      <c r="C6" s="35" t="s">
        <v>105</v>
      </c>
      <c r="D6" s="224">
        <v>54.1</v>
      </c>
      <c r="E6" s="152">
        <v>2.34</v>
      </c>
      <c r="F6" s="147">
        <v>94</v>
      </c>
      <c r="G6" s="147">
        <v>94.5</v>
      </c>
      <c r="H6" s="147">
        <v>95</v>
      </c>
      <c r="I6" s="147">
        <v>95</v>
      </c>
      <c r="J6" s="147">
        <v>96</v>
      </c>
      <c r="K6" s="147">
        <v>96.2</v>
      </c>
      <c r="L6" s="147">
        <v>96.3</v>
      </c>
      <c r="M6" s="147">
        <v>96.4</v>
      </c>
      <c r="N6" s="147">
        <v>96.4</v>
      </c>
      <c r="O6" s="147">
        <v>96.5</v>
      </c>
      <c r="P6" s="147">
        <v>96.5</v>
      </c>
      <c r="Q6" s="147">
        <v>96.6</v>
      </c>
      <c r="R6" s="147">
        <v>96.6</v>
      </c>
      <c r="S6" s="147">
        <v>96.6</v>
      </c>
      <c r="T6" s="147">
        <v>96.6</v>
      </c>
      <c r="U6" s="147">
        <v>96.6</v>
      </c>
      <c r="V6" s="147">
        <v>96.6</v>
      </c>
      <c r="W6" s="147">
        <v>96.6</v>
      </c>
      <c r="X6" s="147">
        <v>96.6</v>
      </c>
      <c r="Y6" s="225"/>
    </row>
    <row r="7" spans="1:25" ht="108" customHeight="1" x14ac:dyDescent="0.25">
      <c r="A7" s="12">
        <v>2</v>
      </c>
      <c r="B7" s="143" t="s">
        <v>109</v>
      </c>
      <c r="C7" s="35" t="s">
        <v>105</v>
      </c>
      <c r="D7" s="144" t="e">
        <f>#REF!</f>
        <v>#REF!</v>
      </c>
      <c r="E7" s="152">
        <v>60.5</v>
      </c>
      <c r="F7" s="37">
        <v>82.4</v>
      </c>
      <c r="G7" s="37">
        <v>86.6</v>
      </c>
      <c r="H7" s="37">
        <v>91.3</v>
      </c>
      <c r="I7" s="37">
        <v>100</v>
      </c>
      <c r="J7" s="37">
        <v>100</v>
      </c>
      <c r="K7" s="37">
        <v>100</v>
      </c>
      <c r="L7" s="37">
        <v>100</v>
      </c>
      <c r="M7" s="37">
        <v>100</v>
      </c>
      <c r="N7" s="37">
        <v>100</v>
      </c>
      <c r="O7" s="37">
        <v>100</v>
      </c>
      <c r="P7" s="37">
        <v>100</v>
      </c>
      <c r="Q7" s="37">
        <v>100</v>
      </c>
      <c r="R7" s="37">
        <v>100</v>
      </c>
      <c r="S7" s="37">
        <v>100</v>
      </c>
      <c r="T7" s="37">
        <v>100</v>
      </c>
      <c r="U7" s="37">
        <v>100</v>
      </c>
      <c r="V7" s="37">
        <v>100</v>
      </c>
      <c r="W7" s="37">
        <v>100</v>
      </c>
      <c r="X7" s="37">
        <v>100</v>
      </c>
      <c r="Y7" s="226"/>
    </row>
    <row r="8" spans="1:25" ht="89.25" customHeight="1" x14ac:dyDescent="0.25">
      <c r="A8" s="11">
        <v>3</v>
      </c>
      <c r="B8" s="150" t="s">
        <v>112</v>
      </c>
      <c r="C8" s="144" t="s">
        <v>105</v>
      </c>
      <c r="D8" s="227">
        <v>95.6</v>
      </c>
      <c r="E8" s="228">
        <v>96.7</v>
      </c>
      <c r="F8" s="151">
        <v>98.53</v>
      </c>
      <c r="G8" s="151">
        <v>98.04</v>
      </c>
      <c r="H8" s="151">
        <v>98.53</v>
      </c>
      <c r="I8" s="151">
        <v>98.6</v>
      </c>
      <c r="J8" s="151">
        <v>98.6</v>
      </c>
      <c r="K8" s="151">
        <v>100</v>
      </c>
      <c r="L8" s="151">
        <v>100</v>
      </c>
      <c r="M8" s="151">
        <v>100</v>
      </c>
      <c r="N8" s="151">
        <v>100</v>
      </c>
      <c r="O8" s="151">
        <v>100</v>
      </c>
      <c r="P8" s="151">
        <v>100</v>
      </c>
      <c r="Q8" s="151">
        <v>100</v>
      </c>
      <c r="R8" s="151">
        <v>100</v>
      </c>
      <c r="S8" s="151">
        <v>100</v>
      </c>
      <c r="T8" s="151">
        <v>100</v>
      </c>
      <c r="U8" s="151">
        <v>100</v>
      </c>
      <c r="V8" s="151">
        <v>100</v>
      </c>
      <c r="W8" s="151">
        <v>100</v>
      </c>
      <c r="X8" s="151">
        <v>100</v>
      </c>
      <c r="Y8" s="229"/>
    </row>
    <row r="9" spans="1:25" ht="85.5" customHeight="1" x14ac:dyDescent="0.25">
      <c r="A9" s="11">
        <v>4</v>
      </c>
      <c r="B9" s="143" t="s">
        <v>114</v>
      </c>
      <c r="C9" s="35" t="s">
        <v>257</v>
      </c>
      <c r="D9" s="227"/>
      <c r="E9" s="228"/>
      <c r="F9" s="153">
        <v>67</v>
      </c>
      <c r="G9" s="153">
        <v>67</v>
      </c>
      <c r="H9" s="153">
        <v>67</v>
      </c>
      <c r="I9" s="153">
        <v>83</v>
      </c>
      <c r="J9" s="153">
        <v>83</v>
      </c>
      <c r="K9" s="153">
        <v>83</v>
      </c>
      <c r="L9" s="153">
        <v>83</v>
      </c>
      <c r="M9" s="153">
        <v>83</v>
      </c>
      <c r="N9" s="153">
        <v>100</v>
      </c>
      <c r="O9" s="153">
        <v>100</v>
      </c>
      <c r="P9" s="153">
        <v>100</v>
      </c>
      <c r="Q9" s="153">
        <v>100</v>
      </c>
      <c r="R9" s="153">
        <v>100</v>
      </c>
      <c r="S9" s="153">
        <v>100</v>
      </c>
      <c r="T9" s="153">
        <v>100</v>
      </c>
      <c r="U9" s="153">
        <v>100</v>
      </c>
      <c r="V9" s="153">
        <v>100</v>
      </c>
      <c r="W9" s="153">
        <v>100</v>
      </c>
      <c r="X9" s="153">
        <v>100</v>
      </c>
      <c r="Y9" s="230"/>
    </row>
    <row r="10" spans="1:25" ht="35.25" customHeight="1" x14ac:dyDescent="0.25">
      <c r="A10" s="231" t="s">
        <v>33</v>
      </c>
      <c r="B10" s="231"/>
      <c r="C10" s="231"/>
      <c r="D10" s="231"/>
      <c r="E10" s="231"/>
      <c r="F10" s="232"/>
      <c r="G10" s="58"/>
      <c r="H10" s="58"/>
      <c r="I10" s="58"/>
      <c r="J10" s="58"/>
      <c r="K10" s="58"/>
      <c r="L10" s="58"/>
      <c r="M10" s="233" t="s">
        <v>243</v>
      </c>
      <c r="N10" s="233"/>
      <c r="O10" s="233"/>
      <c r="P10" s="233"/>
      <c r="Q10" s="234"/>
      <c r="R10" s="235"/>
      <c r="S10" s="235"/>
      <c r="T10" s="235"/>
      <c r="U10" s="235"/>
      <c r="V10" s="235"/>
      <c r="W10" s="235"/>
      <c r="X10" s="235"/>
      <c r="Y10" s="235"/>
    </row>
    <row r="15" spans="1:25" x14ac:dyDescent="0.25">
      <c r="D15" s="236"/>
      <c r="E15" s="236"/>
      <c r="F15" s="237"/>
      <c r="G15" s="236"/>
    </row>
    <row r="16" spans="1:25" x14ac:dyDescent="0.25">
      <c r="D16" s="238"/>
      <c r="E16" s="239"/>
      <c r="F16" s="240"/>
      <c r="G16" s="239"/>
    </row>
    <row r="17" spans="4:7" x14ac:dyDescent="0.25">
      <c r="D17" s="241"/>
      <c r="E17" s="241"/>
      <c r="F17" s="242"/>
      <c r="G17" s="241"/>
    </row>
  </sheetData>
  <mergeCells count="12">
    <mergeCell ref="A10:E10"/>
    <mergeCell ref="M10:Q10"/>
    <mergeCell ref="R1:V1"/>
    <mergeCell ref="A2:Q2"/>
    <mergeCell ref="A3:A4"/>
    <mergeCell ref="B3:B4"/>
    <mergeCell ref="C3:C4"/>
    <mergeCell ref="D3:D4"/>
    <mergeCell ref="E3:E4"/>
    <mergeCell ref="F3:F4"/>
    <mergeCell ref="G3:S3"/>
    <mergeCell ref="T3:X3"/>
  </mergeCells>
  <pageMargins left="0.55118110236220474" right="0.35433070866141736" top="0.55118110236220474" bottom="0.19685039370078741" header="0.51181102362204722" footer="0.51181102362204722"/>
  <pageSetup paperSize="9" scale="52" fitToHeight="3" orientation="landscape" useFirstPageNumber="1" r:id="rId1"/>
  <headerFooter differentFirst="1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R13"/>
  <sheetViews>
    <sheetView view="pageBreakPreview" zoomScale="79" zoomScaleNormal="79" zoomScaleSheetLayoutView="79" workbookViewId="0">
      <pane ySplit="5" topLeftCell="A6" activePane="bottomLeft" state="frozen"/>
      <selection activeCell="Q12" sqref="Q12"/>
      <selection pane="bottomLeft" activeCell="H13" sqref="H13"/>
    </sheetView>
  </sheetViews>
  <sheetFormatPr defaultRowHeight="15.75" x14ac:dyDescent="0.25"/>
  <cols>
    <col min="1" max="1" width="6.28515625" style="207" customWidth="1"/>
    <col min="2" max="2" width="79.140625" style="57" customWidth="1"/>
    <col min="3" max="3" width="12" style="57" customWidth="1"/>
    <col min="4" max="7" width="11.42578125" style="57" customWidth="1"/>
    <col min="8" max="10" width="11.42578125" style="58" customWidth="1"/>
    <col min="11" max="11" width="9.140625" style="58"/>
    <col min="12" max="12" width="9.140625" style="57"/>
    <col min="13" max="13" width="10.7109375" style="57" customWidth="1"/>
    <col min="14" max="16384" width="9.140625" style="57"/>
  </cols>
  <sheetData>
    <row r="1" spans="1:18" ht="51.75" customHeight="1" x14ac:dyDescent="0.25">
      <c r="A1" s="133"/>
      <c r="B1" s="134"/>
      <c r="C1" s="135"/>
      <c r="E1" s="243" t="s">
        <v>258</v>
      </c>
      <c r="F1" s="243"/>
      <c r="G1" s="243"/>
      <c r="H1" s="243"/>
      <c r="I1" s="243"/>
      <c r="J1" s="243"/>
      <c r="N1" s="58"/>
      <c r="O1" s="58"/>
    </row>
    <row r="2" spans="1:18" ht="37.5" customHeight="1" x14ac:dyDescent="0.25">
      <c r="A2" s="244" t="s">
        <v>259</v>
      </c>
      <c r="B2" s="244"/>
      <c r="C2" s="244"/>
      <c r="D2" s="244"/>
      <c r="E2" s="244"/>
      <c r="F2" s="244"/>
      <c r="G2" s="244"/>
      <c r="H2" s="244"/>
      <c r="I2" s="244"/>
      <c r="J2" s="244"/>
      <c r="N2" s="58"/>
      <c r="O2" s="58"/>
    </row>
    <row r="3" spans="1:18" ht="25.5" customHeight="1" x14ac:dyDescent="0.25">
      <c r="A3" s="245" t="s">
        <v>97</v>
      </c>
      <c r="B3" s="246" t="s">
        <v>260</v>
      </c>
      <c r="C3" s="246" t="s">
        <v>99</v>
      </c>
      <c r="D3" s="42" t="s">
        <v>101</v>
      </c>
      <c r="E3" s="42" t="s">
        <v>42</v>
      </c>
      <c r="F3" s="42" t="s">
        <v>43</v>
      </c>
      <c r="G3" s="42" t="s">
        <v>44</v>
      </c>
      <c r="H3" s="68" t="s">
        <v>45</v>
      </c>
      <c r="I3" s="68" t="s">
        <v>46</v>
      </c>
      <c r="J3" s="68" t="s">
        <v>47</v>
      </c>
      <c r="K3" s="68" t="s">
        <v>48</v>
      </c>
      <c r="L3" s="68" t="s">
        <v>49</v>
      </c>
      <c r="M3" s="68" t="s">
        <v>50</v>
      </c>
      <c r="N3" s="68" t="s">
        <v>51</v>
      </c>
      <c r="O3" s="68" t="s">
        <v>52</v>
      </c>
      <c r="P3" s="68" t="s">
        <v>53</v>
      </c>
    </row>
    <row r="4" spans="1:18" ht="25.5" customHeight="1" x14ac:dyDescent="0.25">
      <c r="A4" s="247"/>
      <c r="B4" s="248"/>
      <c r="C4" s="248"/>
      <c r="D4" s="44"/>
      <c r="E4" s="249"/>
      <c r="F4" s="250"/>
      <c r="G4" s="44"/>
      <c r="H4" s="70"/>
      <c r="I4" s="70"/>
      <c r="J4" s="70"/>
      <c r="K4" s="70"/>
      <c r="L4" s="70"/>
      <c r="M4" s="70"/>
      <c r="N4" s="70"/>
      <c r="O4" s="70"/>
      <c r="P4" s="70"/>
    </row>
    <row r="5" spans="1:18" ht="25.5" customHeight="1" x14ac:dyDescent="0.25">
      <c r="A5" s="251"/>
      <c r="B5" s="252"/>
      <c r="C5" s="252"/>
      <c r="D5" s="81"/>
      <c r="E5" s="253"/>
      <c r="F5" s="254"/>
      <c r="G5" s="81"/>
      <c r="H5" s="255"/>
      <c r="I5" s="255"/>
      <c r="J5" s="255"/>
      <c r="K5" s="255"/>
      <c r="L5" s="255"/>
      <c r="M5" s="255"/>
      <c r="N5" s="255"/>
      <c r="O5" s="255"/>
      <c r="P5" s="255"/>
    </row>
    <row r="6" spans="1:18" ht="39.75" customHeight="1" x14ac:dyDescent="0.25">
      <c r="A6" s="256" t="s">
        <v>261</v>
      </c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</row>
    <row r="7" spans="1:18" ht="33" customHeight="1" x14ac:dyDescent="0.25">
      <c r="A7" s="258" t="s">
        <v>262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N7" s="58"/>
      <c r="O7" s="58"/>
    </row>
    <row r="8" spans="1:18" ht="47.25" customHeight="1" x14ac:dyDescent="0.25">
      <c r="A8" s="260" t="s">
        <v>263</v>
      </c>
      <c r="B8" s="173" t="s">
        <v>119</v>
      </c>
      <c r="C8" s="37" t="s">
        <v>105</v>
      </c>
      <c r="D8" s="158" t="s">
        <v>120</v>
      </c>
      <c r="E8" s="261">
        <v>90.1</v>
      </c>
      <c r="F8" s="262">
        <v>97.5</v>
      </c>
      <c r="G8" s="109">
        <v>100</v>
      </c>
      <c r="H8" s="109">
        <v>100</v>
      </c>
      <c r="I8" s="109">
        <v>100</v>
      </c>
      <c r="J8" s="109">
        <v>100</v>
      </c>
      <c r="K8" s="109">
        <v>100</v>
      </c>
      <c r="L8" s="109">
        <v>100</v>
      </c>
      <c r="M8" s="109">
        <v>100</v>
      </c>
      <c r="N8" s="109">
        <v>100</v>
      </c>
      <c r="O8" s="109">
        <v>100</v>
      </c>
      <c r="P8" s="109">
        <v>100</v>
      </c>
    </row>
    <row r="9" spans="1:18" ht="72.75" customHeight="1" x14ac:dyDescent="0.25">
      <c r="A9" s="260" t="s">
        <v>264</v>
      </c>
      <c r="B9" s="173" t="s">
        <v>122</v>
      </c>
      <c r="C9" s="37" t="s">
        <v>105</v>
      </c>
      <c r="D9" s="263" t="s">
        <v>120</v>
      </c>
      <c r="E9" s="12">
        <v>85</v>
      </c>
      <c r="F9" s="13">
        <v>97</v>
      </c>
      <c r="G9" s="264">
        <v>100</v>
      </c>
      <c r="H9" s="264">
        <v>100</v>
      </c>
      <c r="I9" s="264">
        <v>100</v>
      </c>
      <c r="J9" s="264">
        <v>100</v>
      </c>
      <c r="K9" s="264">
        <v>100</v>
      </c>
      <c r="L9" s="109">
        <v>100</v>
      </c>
      <c r="M9" s="109">
        <v>100</v>
      </c>
      <c r="N9" s="109">
        <v>100</v>
      </c>
      <c r="O9" s="109">
        <v>100</v>
      </c>
      <c r="P9" s="109">
        <v>100</v>
      </c>
    </row>
    <row r="10" spans="1:18" ht="105" customHeight="1" x14ac:dyDescent="0.25">
      <c r="A10" s="260" t="s">
        <v>265</v>
      </c>
      <c r="B10" s="173" t="s">
        <v>266</v>
      </c>
      <c r="C10" s="37" t="s">
        <v>105</v>
      </c>
      <c r="D10" s="158" t="s">
        <v>120</v>
      </c>
      <c r="E10" s="265">
        <v>0</v>
      </c>
      <c r="F10" s="266">
        <v>0</v>
      </c>
      <c r="G10" s="109">
        <v>0</v>
      </c>
      <c r="H10" s="109">
        <v>100</v>
      </c>
      <c r="I10" s="109">
        <v>100</v>
      </c>
      <c r="J10" s="109">
        <v>100</v>
      </c>
      <c r="K10" s="109">
        <v>100</v>
      </c>
      <c r="L10" s="109">
        <v>100</v>
      </c>
      <c r="M10" s="109">
        <v>100</v>
      </c>
      <c r="N10" s="109">
        <v>100</v>
      </c>
      <c r="O10" s="109">
        <v>100</v>
      </c>
      <c r="P10" s="109">
        <v>100</v>
      </c>
      <c r="Q10" s="267"/>
      <c r="R10" s="267"/>
    </row>
    <row r="11" spans="1:18" ht="118.5" customHeight="1" x14ac:dyDescent="0.25">
      <c r="A11" s="260" t="s">
        <v>267</v>
      </c>
      <c r="B11" s="143" t="s">
        <v>268</v>
      </c>
      <c r="C11" s="37" t="s">
        <v>105</v>
      </c>
      <c r="D11" s="158" t="s">
        <v>120</v>
      </c>
      <c r="E11" s="35" t="s">
        <v>128</v>
      </c>
      <c r="F11" s="109" t="s">
        <v>129</v>
      </c>
      <c r="G11" s="109">
        <v>0</v>
      </c>
      <c r="H11" s="109">
        <v>0</v>
      </c>
      <c r="I11" s="109" t="s">
        <v>129</v>
      </c>
      <c r="J11" s="109" t="s">
        <v>129</v>
      </c>
      <c r="K11" s="109" t="s">
        <v>129</v>
      </c>
      <c r="L11" s="109" t="s">
        <v>129</v>
      </c>
      <c r="M11" s="109" t="s">
        <v>129</v>
      </c>
      <c r="N11" s="109" t="s">
        <v>129</v>
      </c>
      <c r="O11" s="109" t="s">
        <v>129</v>
      </c>
      <c r="P11" s="109" t="s">
        <v>129</v>
      </c>
      <c r="Q11" s="267"/>
      <c r="R11" s="267"/>
    </row>
    <row r="12" spans="1:18" ht="20.25" customHeight="1" x14ac:dyDescent="0.25">
      <c r="A12" s="268"/>
      <c r="B12" s="269"/>
      <c r="C12" s="141"/>
      <c r="D12" s="270"/>
      <c r="E12" s="270"/>
      <c r="F12" s="270"/>
      <c r="G12" s="270"/>
      <c r="H12" s="271"/>
      <c r="I12" s="271"/>
      <c r="J12" s="271"/>
      <c r="N12" s="58"/>
      <c r="O12" s="58"/>
    </row>
    <row r="13" spans="1:18" ht="26.25" customHeight="1" x14ac:dyDescent="0.25">
      <c r="A13" s="272" t="s">
        <v>33</v>
      </c>
      <c r="B13" s="272"/>
      <c r="C13" s="272"/>
      <c r="G13" s="85"/>
      <c r="H13" s="273"/>
      <c r="I13" s="273"/>
      <c r="J13" s="274"/>
      <c r="N13" s="273" t="s">
        <v>34</v>
      </c>
      <c r="O13" s="58"/>
    </row>
  </sheetData>
  <mergeCells count="20">
    <mergeCell ref="O3:O5"/>
    <mergeCell ref="P3:P5"/>
    <mergeCell ref="A6:P6"/>
    <mergeCell ref="A7:L7"/>
    <mergeCell ref="I3:I5"/>
    <mergeCell ref="J3:J5"/>
    <mergeCell ref="K3:K5"/>
    <mergeCell ref="L3:L5"/>
    <mergeCell ref="M3:M5"/>
    <mergeCell ref="N3:N5"/>
    <mergeCell ref="E1:J1"/>
    <mergeCell ref="A2:J2"/>
    <mergeCell ref="A3:A5"/>
    <mergeCell ref="B3:B5"/>
    <mergeCell ref="C3:C5"/>
    <mergeCell ref="D3:D5"/>
    <mergeCell ref="E3:E5"/>
    <mergeCell ref="F3:F5"/>
    <mergeCell ref="G3:G5"/>
    <mergeCell ref="H3:H5"/>
  </mergeCells>
  <pageMargins left="0.51181102362204722" right="0.51181102362204722" top="0.55118110236220474" bottom="0.35433070866141736" header="0.31496062992125984" footer="0.31496062992125984"/>
  <pageSetup paperSize="9" scale="59" fitToHeight="4" orientation="landscape" r:id="rId1"/>
  <headerFooter differentFirst="1"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Y116"/>
  <sheetViews>
    <sheetView view="pageBreakPreview" zoomScale="98" zoomScaleNormal="98" zoomScaleSheetLayoutView="98" workbookViewId="0">
      <pane xSplit="3" ySplit="6" topLeftCell="E64" activePane="bottomRight" state="frozen"/>
      <selection activeCell="Q12" sqref="Q12"/>
      <selection pane="topRight" activeCell="Q12" sqref="Q12"/>
      <selection pane="bottomLeft" activeCell="Q12" sqref="Q12"/>
      <selection pane="bottomRight" activeCell="Q74" sqref="Q74:Q75"/>
    </sheetView>
  </sheetViews>
  <sheetFormatPr defaultColWidth="9.28515625" defaultRowHeight="25.5" customHeight="1" x14ac:dyDescent="0.25"/>
  <cols>
    <col min="1" max="1" width="8.42578125" style="340" customWidth="1"/>
    <col min="2" max="2" width="60.7109375" style="57" customWidth="1"/>
    <col min="3" max="3" width="33.7109375" style="341" customWidth="1"/>
    <col min="4" max="5" width="9.28515625" style="341"/>
    <col min="6" max="6" width="13.85546875" style="341" bestFit="1" customWidth="1"/>
    <col min="7" max="8" width="14.28515625" style="341" customWidth="1"/>
    <col min="9" max="10" width="17.7109375" style="57" customWidth="1"/>
    <col min="11" max="15" width="18.28515625" style="57" customWidth="1"/>
    <col min="16" max="16" width="18.28515625" style="58" customWidth="1"/>
    <col min="17" max="19" width="18.28515625" style="57" customWidth="1"/>
    <col min="20" max="20" width="17.7109375" style="57" customWidth="1"/>
    <col min="21" max="21" width="55.5703125" style="57" customWidth="1"/>
    <col min="22" max="22" width="12" style="57" customWidth="1"/>
    <col min="23" max="23" width="15.42578125" style="57" customWidth="1"/>
    <col min="24" max="24" width="21.28515625" style="57" customWidth="1"/>
    <col min="25" max="16384" width="9.28515625" style="57"/>
  </cols>
  <sheetData>
    <row r="1" spans="1:24" s="237" customFormat="1" ht="57" customHeight="1" x14ac:dyDescent="0.25">
      <c r="A1" s="275"/>
      <c r="B1" s="276"/>
      <c r="C1" s="277"/>
      <c r="D1" s="277"/>
      <c r="E1" s="277"/>
      <c r="F1" s="277"/>
      <c r="G1" s="277"/>
      <c r="H1" s="277"/>
      <c r="I1" s="278"/>
      <c r="J1" s="278"/>
      <c r="P1" s="197"/>
      <c r="S1" s="279" t="s">
        <v>269</v>
      </c>
      <c r="T1" s="279"/>
      <c r="U1" s="279"/>
      <c r="V1" s="280"/>
      <c r="W1" s="280"/>
      <c r="X1" s="280"/>
    </row>
    <row r="2" spans="1:24" s="237" customFormat="1" ht="25.5" customHeight="1" x14ac:dyDescent="0.25">
      <c r="A2" s="281" t="s">
        <v>270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</row>
    <row r="3" spans="1:24" s="237" customFormat="1" ht="25.5" customHeight="1" x14ac:dyDescent="0.25">
      <c r="A3" s="53" t="s">
        <v>97</v>
      </c>
      <c r="B3" s="53" t="s">
        <v>271</v>
      </c>
      <c r="C3" s="53" t="s">
        <v>7</v>
      </c>
      <c r="D3" s="53" t="s">
        <v>5</v>
      </c>
      <c r="E3" s="53"/>
      <c r="F3" s="53"/>
      <c r="G3" s="53"/>
      <c r="H3" s="12"/>
      <c r="I3" s="53" t="s">
        <v>6</v>
      </c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 t="s">
        <v>272</v>
      </c>
    </row>
    <row r="4" spans="1:24" s="237" customFormat="1" ht="25.5" customHeight="1" x14ac:dyDescent="0.25">
      <c r="A4" s="53"/>
      <c r="B4" s="53"/>
      <c r="C4" s="53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12">
        <v>2020</v>
      </c>
      <c r="O4" s="12">
        <v>2021</v>
      </c>
      <c r="P4" s="13">
        <v>2022</v>
      </c>
      <c r="Q4" s="12">
        <v>2023</v>
      </c>
      <c r="R4" s="12">
        <v>2024</v>
      </c>
      <c r="S4" s="12">
        <v>2025</v>
      </c>
      <c r="T4" s="12" t="s">
        <v>11</v>
      </c>
      <c r="U4" s="53"/>
    </row>
    <row r="5" spans="1:24" ht="25.5" customHeight="1" x14ac:dyDescent="0.25">
      <c r="A5" s="34" t="s">
        <v>273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</row>
    <row r="6" spans="1:24" ht="25.5" customHeight="1" x14ac:dyDescent="0.25">
      <c r="A6" s="282" t="s">
        <v>274</v>
      </c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</row>
    <row r="7" spans="1:24" ht="25.5" customHeight="1" x14ac:dyDescent="0.25">
      <c r="A7" s="283" t="s">
        <v>118</v>
      </c>
      <c r="B7" s="284" t="s">
        <v>275</v>
      </c>
      <c r="C7" s="283" t="s">
        <v>276</v>
      </c>
      <c r="D7" s="285" t="s">
        <v>18</v>
      </c>
      <c r="E7" s="285" t="s">
        <v>277</v>
      </c>
      <c r="F7" s="285" t="s">
        <v>278</v>
      </c>
      <c r="G7" s="285" t="s">
        <v>279</v>
      </c>
      <c r="H7" s="286">
        <v>69765.3</v>
      </c>
      <c r="I7" s="286">
        <v>78566.5</v>
      </c>
      <c r="J7" s="286">
        <v>53980.2</v>
      </c>
      <c r="K7" s="286">
        <v>48275.5</v>
      </c>
      <c r="L7" s="286">
        <v>47527.3</v>
      </c>
      <c r="M7" s="286">
        <v>50883.5</v>
      </c>
      <c r="N7" s="286">
        <f>46469-53.6</f>
        <v>46415.4</v>
      </c>
      <c r="O7" s="286">
        <v>6593.4</v>
      </c>
      <c r="P7" s="287">
        <v>8852</v>
      </c>
      <c r="Q7" s="288">
        <v>9093.9</v>
      </c>
      <c r="R7" s="286">
        <v>8813.9</v>
      </c>
      <c r="S7" s="286">
        <f>R7</f>
        <v>8813.9</v>
      </c>
      <c r="T7" s="286">
        <f>SUM(H7:S7)</f>
        <v>437580.8000000001</v>
      </c>
      <c r="U7" s="42" t="s">
        <v>280</v>
      </c>
    </row>
    <row r="8" spans="1:24" ht="25.5" customHeight="1" x14ac:dyDescent="0.25">
      <c r="A8" s="289"/>
      <c r="B8" s="290"/>
      <c r="C8" s="289"/>
      <c r="D8" s="285" t="s">
        <v>18</v>
      </c>
      <c r="E8" s="285" t="s">
        <v>277</v>
      </c>
      <c r="F8" s="285" t="s">
        <v>278</v>
      </c>
      <c r="G8" s="285" t="s">
        <v>281</v>
      </c>
      <c r="H8" s="286">
        <v>2247.3000000000002</v>
      </c>
      <c r="I8" s="286">
        <v>6941.5</v>
      </c>
      <c r="J8" s="286">
        <v>7305.1</v>
      </c>
      <c r="K8" s="286">
        <v>3060.4</v>
      </c>
      <c r="L8" s="286">
        <v>788.7</v>
      </c>
      <c r="M8" s="286">
        <v>2751.6</v>
      </c>
      <c r="N8" s="286">
        <f>3804.6+382</f>
        <v>4186.6000000000004</v>
      </c>
      <c r="O8" s="286">
        <v>10365.4</v>
      </c>
      <c r="P8" s="287">
        <v>4766.8</v>
      </c>
      <c r="Q8" s="287">
        <v>1439.5</v>
      </c>
      <c r="R8" s="286">
        <v>55</v>
      </c>
      <c r="S8" s="286">
        <v>55</v>
      </c>
      <c r="T8" s="286">
        <f t="shared" ref="T8:T76" si="0">SUM(H8:S8)</f>
        <v>43962.900000000009</v>
      </c>
      <c r="U8" s="44"/>
    </row>
    <row r="9" spans="1:24" ht="25.5" customHeight="1" x14ac:dyDescent="0.25">
      <c r="A9" s="289"/>
      <c r="B9" s="290"/>
      <c r="C9" s="289"/>
      <c r="D9" s="285" t="s">
        <v>18</v>
      </c>
      <c r="E9" s="285" t="s">
        <v>277</v>
      </c>
      <c r="F9" s="285" t="s">
        <v>278</v>
      </c>
      <c r="G9" s="285" t="s">
        <v>282</v>
      </c>
      <c r="H9" s="286">
        <v>11537</v>
      </c>
      <c r="I9" s="286">
        <v>12269.9</v>
      </c>
      <c r="J9" s="286">
        <v>8827.4</v>
      </c>
      <c r="K9" s="286">
        <v>7585.8</v>
      </c>
      <c r="L9" s="286">
        <v>7298.7</v>
      </c>
      <c r="M9" s="286">
        <v>7606.8</v>
      </c>
      <c r="N9" s="286">
        <v>6945.3</v>
      </c>
      <c r="O9" s="286">
        <v>1491.1</v>
      </c>
      <c r="P9" s="287">
        <v>1603.6</v>
      </c>
      <c r="Q9" s="288">
        <v>1777.4</v>
      </c>
      <c r="R9" s="286">
        <v>1747.4</v>
      </c>
      <c r="S9" s="286">
        <f t="shared" ref="R9:S71" si="1">R9</f>
        <v>1747.4</v>
      </c>
      <c r="T9" s="286">
        <f t="shared" si="0"/>
        <v>70437.799999999988</v>
      </c>
      <c r="U9" s="44"/>
    </row>
    <row r="10" spans="1:24" ht="25.5" customHeight="1" x14ac:dyDescent="0.25">
      <c r="A10" s="289"/>
      <c r="B10" s="290"/>
      <c r="C10" s="289"/>
      <c r="D10" s="285" t="s">
        <v>18</v>
      </c>
      <c r="E10" s="285" t="s">
        <v>277</v>
      </c>
      <c r="F10" s="285" t="s">
        <v>278</v>
      </c>
      <c r="G10" s="285" t="s">
        <v>283</v>
      </c>
      <c r="H10" s="286">
        <v>180</v>
      </c>
      <c r="I10" s="286">
        <v>1248.0999999999999</v>
      </c>
      <c r="J10" s="286">
        <v>101.9</v>
      </c>
      <c r="K10" s="286">
        <v>10</v>
      </c>
      <c r="L10" s="286"/>
      <c r="M10" s="286"/>
      <c r="N10" s="286"/>
      <c r="O10" s="286"/>
      <c r="P10" s="287">
        <f>O10</f>
        <v>0</v>
      </c>
      <c r="Q10" s="286">
        <f>P10</f>
        <v>0</v>
      </c>
      <c r="R10" s="286">
        <f t="shared" si="1"/>
        <v>0</v>
      </c>
      <c r="S10" s="286">
        <f t="shared" si="1"/>
        <v>0</v>
      </c>
      <c r="T10" s="286">
        <f t="shared" si="0"/>
        <v>1540</v>
      </c>
      <c r="U10" s="44"/>
    </row>
    <row r="11" spans="1:24" ht="25.5" customHeight="1" x14ac:dyDescent="0.25">
      <c r="A11" s="289"/>
      <c r="B11" s="290"/>
      <c r="C11" s="289"/>
      <c r="D11" s="285" t="s">
        <v>18</v>
      </c>
      <c r="E11" s="285" t="s">
        <v>277</v>
      </c>
      <c r="F11" s="285" t="s">
        <v>278</v>
      </c>
      <c r="G11" s="285" t="s">
        <v>284</v>
      </c>
      <c r="H11" s="286">
        <v>0</v>
      </c>
      <c r="I11" s="286">
        <v>0</v>
      </c>
      <c r="J11" s="286">
        <v>0</v>
      </c>
      <c r="K11" s="286">
        <v>0</v>
      </c>
      <c r="L11" s="286"/>
      <c r="M11" s="286"/>
      <c r="N11" s="286"/>
      <c r="O11" s="286"/>
      <c r="P11" s="287">
        <f>O11</f>
        <v>0</v>
      </c>
      <c r="Q11" s="286">
        <v>77.2</v>
      </c>
      <c r="R11" s="286">
        <v>77.2</v>
      </c>
      <c r="S11" s="286">
        <f>R11</f>
        <v>77.2</v>
      </c>
      <c r="T11" s="286">
        <f>SUM(H11:S11)</f>
        <v>231.60000000000002</v>
      </c>
      <c r="U11" s="44"/>
    </row>
    <row r="12" spans="1:24" ht="25.5" customHeight="1" x14ac:dyDescent="0.25">
      <c r="A12" s="289"/>
      <c r="B12" s="290"/>
      <c r="C12" s="289"/>
      <c r="D12" s="285" t="s">
        <v>18</v>
      </c>
      <c r="E12" s="285" t="s">
        <v>277</v>
      </c>
      <c r="F12" s="285" t="s">
        <v>285</v>
      </c>
      <c r="G12" s="285" t="s">
        <v>279</v>
      </c>
      <c r="H12" s="286"/>
      <c r="I12" s="286"/>
      <c r="J12" s="286"/>
      <c r="K12" s="286"/>
      <c r="L12" s="286"/>
      <c r="M12" s="286"/>
      <c r="N12" s="286"/>
      <c r="O12" s="286">
        <v>14888.7</v>
      </c>
      <c r="P12" s="287">
        <v>22561.5</v>
      </c>
      <c r="Q12" s="286">
        <v>17843.900000000001</v>
      </c>
      <c r="R12" s="286">
        <v>17843.900000000001</v>
      </c>
      <c r="S12" s="286">
        <f t="shared" si="1"/>
        <v>17843.900000000001</v>
      </c>
      <c r="T12" s="286">
        <f t="shared" si="0"/>
        <v>90981.9</v>
      </c>
      <c r="U12" s="44"/>
    </row>
    <row r="13" spans="1:24" ht="25.5" customHeight="1" x14ac:dyDescent="0.25">
      <c r="A13" s="289"/>
      <c r="B13" s="290"/>
      <c r="C13" s="289"/>
      <c r="D13" s="285" t="s">
        <v>18</v>
      </c>
      <c r="E13" s="285" t="s">
        <v>277</v>
      </c>
      <c r="F13" s="285" t="s">
        <v>285</v>
      </c>
      <c r="G13" s="285" t="s">
        <v>282</v>
      </c>
      <c r="H13" s="286"/>
      <c r="I13" s="286"/>
      <c r="J13" s="286"/>
      <c r="K13" s="286"/>
      <c r="L13" s="286"/>
      <c r="M13" s="286"/>
      <c r="N13" s="286"/>
      <c r="O13" s="286">
        <v>2688.7</v>
      </c>
      <c r="P13" s="287">
        <f>3291.9</f>
        <v>3291.9</v>
      </c>
      <c r="Q13" s="286">
        <v>3163.1</v>
      </c>
      <c r="R13" s="286">
        <v>3163.1</v>
      </c>
      <c r="S13" s="286">
        <f t="shared" si="1"/>
        <v>3163.1</v>
      </c>
      <c r="T13" s="286">
        <f t="shared" si="0"/>
        <v>15469.900000000001</v>
      </c>
      <c r="U13" s="44"/>
    </row>
    <row r="14" spans="1:24" ht="25.5" customHeight="1" x14ac:dyDescent="0.25">
      <c r="A14" s="289"/>
      <c r="B14" s="290"/>
      <c r="C14" s="289"/>
      <c r="D14" s="285" t="s">
        <v>18</v>
      </c>
      <c r="E14" s="285" t="s">
        <v>277</v>
      </c>
      <c r="F14" s="285" t="s">
        <v>286</v>
      </c>
      <c r="G14" s="285" t="s">
        <v>279</v>
      </c>
      <c r="H14" s="286"/>
      <c r="I14" s="286"/>
      <c r="J14" s="286"/>
      <c r="K14" s="286"/>
      <c r="L14" s="286"/>
      <c r="M14" s="286"/>
      <c r="N14" s="286"/>
      <c r="O14" s="286">
        <v>15496.1</v>
      </c>
      <c r="P14" s="287">
        <v>16236.6</v>
      </c>
      <c r="Q14" s="286">
        <v>14973</v>
      </c>
      <c r="R14" s="286">
        <v>14973</v>
      </c>
      <c r="S14" s="286">
        <f t="shared" si="1"/>
        <v>14973</v>
      </c>
      <c r="T14" s="286">
        <f t="shared" si="0"/>
        <v>76651.7</v>
      </c>
      <c r="U14" s="44"/>
    </row>
    <row r="15" spans="1:24" s="58" customFormat="1" ht="25.5" customHeight="1" x14ac:dyDescent="0.25">
      <c r="A15" s="289"/>
      <c r="B15" s="290"/>
      <c r="C15" s="289"/>
      <c r="D15" s="291" t="s">
        <v>18</v>
      </c>
      <c r="E15" s="291" t="s">
        <v>277</v>
      </c>
      <c r="F15" s="291" t="s">
        <v>286</v>
      </c>
      <c r="G15" s="291" t="s">
        <v>281</v>
      </c>
      <c r="H15" s="287"/>
      <c r="I15" s="287"/>
      <c r="J15" s="287"/>
      <c r="K15" s="287"/>
      <c r="L15" s="287"/>
      <c r="M15" s="287"/>
      <c r="N15" s="287"/>
      <c r="O15" s="287">
        <v>0</v>
      </c>
      <c r="P15" s="287">
        <v>0</v>
      </c>
      <c r="Q15" s="287">
        <v>827.9</v>
      </c>
      <c r="R15" s="287">
        <v>827.9</v>
      </c>
      <c r="S15" s="287">
        <f>R15</f>
        <v>827.9</v>
      </c>
      <c r="T15" s="287">
        <f>SUM(H15:S15)</f>
        <v>2483.6999999999998</v>
      </c>
      <c r="U15" s="44"/>
    </row>
    <row r="16" spans="1:24" ht="25.5" customHeight="1" x14ac:dyDescent="0.25">
      <c r="A16" s="289"/>
      <c r="B16" s="290"/>
      <c r="C16" s="289"/>
      <c r="D16" s="285" t="s">
        <v>18</v>
      </c>
      <c r="E16" s="285" t="s">
        <v>277</v>
      </c>
      <c r="F16" s="285" t="s">
        <v>286</v>
      </c>
      <c r="G16" s="285" t="s">
        <v>282</v>
      </c>
      <c r="H16" s="286"/>
      <c r="I16" s="286"/>
      <c r="J16" s="286"/>
      <c r="K16" s="286"/>
      <c r="L16" s="286"/>
      <c r="M16" s="286"/>
      <c r="N16" s="286"/>
      <c r="O16" s="286">
        <v>1754.1</v>
      </c>
      <c r="P16" s="287">
        <v>2056.1</v>
      </c>
      <c r="Q16" s="286">
        <v>1786.4</v>
      </c>
      <c r="R16" s="286">
        <v>1786.4</v>
      </c>
      <c r="S16" s="286">
        <f t="shared" si="1"/>
        <v>1786.4</v>
      </c>
      <c r="T16" s="286">
        <f t="shared" si="0"/>
        <v>9169.4</v>
      </c>
      <c r="U16" s="44"/>
    </row>
    <row r="17" spans="1:21" ht="25.5" customHeight="1" x14ac:dyDescent="0.25">
      <c r="A17" s="289"/>
      <c r="B17" s="290"/>
      <c r="C17" s="289"/>
      <c r="D17" s="285" t="s">
        <v>18</v>
      </c>
      <c r="E17" s="285" t="s">
        <v>277</v>
      </c>
      <c r="F17" s="285" t="s">
        <v>287</v>
      </c>
      <c r="G17" s="285" t="s">
        <v>279</v>
      </c>
      <c r="H17" s="286"/>
      <c r="I17" s="286"/>
      <c r="J17" s="286"/>
      <c r="K17" s="286"/>
      <c r="L17" s="286"/>
      <c r="M17" s="286"/>
      <c r="N17" s="286"/>
      <c r="O17" s="286">
        <v>54327.5</v>
      </c>
      <c r="P17" s="287">
        <v>55125.9</v>
      </c>
      <c r="Q17" s="287">
        <v>55201.5</v>
      </c>
      <c r="R17" s="286">
        <v>52563.199999999997</v>
      </c>
      <c r="S17" s="286">
        <f t="shared" si="1"/>
        <v>52563.199999999997</v>
      </c>
      <c r="T17" s="286">
        <f t="shared" si="0"/>
        <v>269781.3</v>
      </c>
      <c r="U17" s="44"/>
    </row>
    <row r="18" spans="1:21" ht="25.5" customHeight="1" x14ac:dyDescent="0.25">
      <c r="A18" s="289"/>
      <c r="B18" s="290"/>
      <c r="C18" s="289"/>
      <c r="D18" s="285" t="s">
        <v>18</v>
      </c>
      <c r="E18" s="285" t="s">
        <v>277</v>
      </c>
      <c r="F18" s="285" t="s">
        <v>287</v>
      </c>
      <c r="G18" s="285" t="s">
        <v>282</v>
      </c>
      <c r="H18" s="286"/>
      <c r="I18" s="286"/>
      <c r="J18" s="286"/>
      <c r="K18" s="286"/>
      <c r="L18" s="286"/>
      <c r="M18" s="286"/>
      <c r="N18" s="286"/>
      <c r="O18" s="286">
        <v>8138.3</v>
      </c>
      <c r="P18" s="287">
        <v>8908.9</v>
      </c>
      <c r="Q18" s="287">
        <v>9744.7000000000007</v>
      </c>
      <c r="R18" s="286">
        <v>9249.7000000000007</v>
      </c>
      <c r="S18" s="286">
        <f t="shared" si="1"/>
        <v>9249.7000000000007</v>
      </c>
      <c r="T18" s="286">
        <f t="shared" si="0"/>
        <v>45291.3</v>
      </c>
      <c r="U18" s="44"/>
    </row>
    <row r="19" spans="1:21" ht="25.5" customHeight="1" x14ac:dyDescent="0.25">
      <c r="A19" s="289"/>
      <c r="B19" s="290"/>
      <c r="C19" s="289"/>
      <c r="D19" s="285" t="s">
        <v>18</v>
      </c>
      <c r="E19" s="285" t="s">
        <v>277</v>
      </c>
      <c r="F19" s="285" t="s">
        <v>287</v>
      </c>
      <c r="G19" s="285" t="s">
        <v>284</v>
      </c>
      <c r="H19" s="286"/>
      <c r="I19" s="286"/>
      <c r="J19" s="286"/>
      <c r="K19" s="286"/>
      <c r="L19" s="286"/>
      <c r="M19" s="286"/>
      <c r="N19" s="286"/>
      <c r="O19" s="286">
        <v>0</v>
      </c>
      <c r="P19" s="287">
        <v>0</v>
      </c>
      <c r="Q19" s="287">
        <v>3206.1</v>
      </c>
      <c r="R19" s="286">
        <v>3535</v>
      </c>
      <c r="S19" s="286">
        <f t="shared" si="1"/>
        <v>3535</v>
      </c>
      <c r="T19" s="286">
        <f t="shared" si="0"/>
        <v>10276.1</v>
      </c>
      <c r="U19" s="44"/>
    </row>
    <row r="20" spans="1:21" ht="25.5" customHeight="1" x14ac:dyDescent="0.25">
      <c r="A20" s="289"/>
      <c r="B20" s="290"/>
      <c r="C20" s="289"/>
      <c r="D20" s="285" t="s">
        <v>18</v>
      </c>
      <c r="E20" s="285" t="s">
        <v>277</v>
      </c>
      <c r="F20" s="285" t="s">
        <v>288</v>
      </c>
      <c r="G20" s="285" t="s">
        <v>279</v>
      </c>
      <c r="H20" s="286">
        <v>5961.4</v>
      </c>
      <c r="I20" s="286">
        <v>10099.9</v>
      </c>
      <c r="J20" s="286">
        <v>13561.6</v>
      </c>
      <c r="K20" s="286">
        <v>14858.8</v>
      </c>
      <c r="L20" s="286">
        <v>19814.900000000001</v>
      </c>
      <c r="M20" s="286">
        <v>33192.5</v>
      </c>
      <c r="N20" s="286">
        <f>30336.6-328.4</f>
        <v>30008.199999999997</v>
      </c>
      <c r="O20" s="286">
        <v>0</v>
      </c>
      <c r="P20" s="287"/>
      <c r="Q20" s="286"/>
      <c r="R20" s="286">
        <f t="shared" si="1"/>
        <v>0</v>
      </c>
      <c r="S20" s="286">
        <f t="shared" si="1"/>
        <v>0</v>
      </c>
      <c r="T20" s="286">
        <f t="shared" si="0"/>
        <v>127497.3</v>
      </c>
      <c r="U20" s="44"/>
    </row>
    <row r="21" spans="1:21" ht="25.5" customHeight="1" x14ac:dyDescent="0.25">
      <c r="A21" s="289"/>
      <c r="B21" s="290"/>
      <c r="C21" s="289"/>
      <c r="D21" s="285" t="s">
        <v>18</v>
      </c>
      <c r="E21" s="285" t="s">
        <v>277</v>
      </c>
      <c r="F21" s="285" t="s">
        <v>288</v>
      </c>
      <c r="G21" s="285" t="s">
        <v>282</v>
      </c>
      <c r="H21" s="286">
        <v>1142</v>
      </c>
      <c r="I21" s="286">
        <v>1752.1</v>
      </c>
      <c r="J21" s="286">
        <v>2506</v>
      </c>
      <c r="K21" s="286">
        <v>2673.8</v>
      </c>
      <c r="L21" s="286">
        <v>3359.1</v>
      </c>
      <c r="M21" s="286">
        <v>5005.5</v>
      </c>
      <c r="N21" s="286">
        <v>4731.2</v>
      </c>
      <c r="O21" s="286">
        <v>0</v>
      </c>
      <c r="P21" s="287"/>
      <c r="Q21" s="286"/>
      <c r="R21" s="286">
        <f t="shared" si="1"/>
        <v>0</v>
      </c>
      <c r="S21" s="286">
        <f t="shared" si="1"/>
        <v>0</v>
      </c>
      <c r="T21" s="286">
        <f t="shared" si="0"/>
        <v>21169.7</v>
      </c>
      <c r="U21" s="44"/>
    </row>
    <row r="22" spans="1:21" ht="20.25" customHeight="1" x14ac:dyDescent="0.25">
      <c r="A22" s="289"/>
      <c r="B22" s="290"/>
      <c r="C22" s="289"/>
      <c r="D22" s="285" t="s">
        <v>18</v>
      </c>
      <c r="E22" s="285" t="s">
        <v>277</v>
      </c>
      <c r="F22" s="285" t="s">
        <v>289</v>
      </c>
      <c r="G22" s="285" t="s">
        <v>281</v>
      </c>
      <c r="H22" s="286"/>
      <c r="I22" s="286"/>
      <c r="J22" s="286"/>
      <c r="K22" s="286"/>
      <c r="L22" s="286">
        <v>0</v>
      </c>
      <c r="M22" s="286">
        <v>50</v>
      </c>
      <c r="N22" s="286">
        <v>0</v>
      </c>
      <c r="O22" s="286">
        <v>0</v>
      </c>
      <c r="P22" s="287">
        <v>0</v>
      </c>
      <c r="Q22" s="286">
        <f>P22</f>
        <v>0</v>
      </c>
      <c r="R22" s="286">
        <f t="shared" si="1"/>
        <v>0</v>
      </c>
      <c r="S22" s="286">
        <f t="shared" si="1"/>
        <v>0</v>
      </c>
      <c r="T22" s="286">
        <f t="shared" si="0"/>
        <v>50</v>
      </c>
      <c r="U22" s="44"/>
    </row>
    <row r="23" spans="1:21" ht="20.25" customHeight="1" x14ac:dyDescent="0.25">
      <c r="A23" s="289"/>
      <c r="B23" s="290"/>
      <c r="C23" s="289"/>
      <c r="D23" s="285" t="s">
        <v>18</v>
      </c>
      <c r="E23" s="285" t="s">
        <v>277</v>
      </c>
      <c r="F23" s="285" t="s">
        <v>289</v>
      </c>
      <c r="G23" s="285" t="s">
        <v>281</v>
      </c>
      <c r="H23" s="286">
        <v>0</v>
      </c>
      <c r="I23" s="286">
        <v>0</v>
      </c>
      <c r="J23" s="286">
        <v>2</v>
      </c>
      <c r="K23" s="286">
        <v>0</v>
      </c>
      <c r="L23" s="286">
        <v>0</v>
      </c>
      <c r="M23" s="286">
        <v>1000</v>
      </c>
      <c r="N23" s="286">
        <v>0</v>
      </c>
      <c r="O23" s="286">
        <v>0</v>
      </c>
      <c r="P23" s="287">
        <f>O23</f>
        <v>0</v>
      </c>
      <c r="Q23" s="286">
        <f>P23</f>
        <v>0</v>
      </c>
      <c r="R23" s="286">
        <f t="shared" si="1"/>
        <v>0</v>
      </c>
      <c r="S23" s="286">
        <f t="shared" si="1"/>
        <v>0</v>
      </c>
      <c r="T23" s="286">
        <f t="shared" si="0"/>
        <v>1002</v>
      </c>
      <c r="U23" s="44"/>
    </row>
    <row r="24" spans="1:21" ht="25.5" customHeight="1" x14ac:dyDescent="0.25">
      <c r="A24" s="289"/>
      <c r="B24" s="290"/>
      <c r="C24" s="289"/>
      <c r="D24" s="285" t="s">
        <v>18</v>
      </c>
      <c r="E24" s="285" t="s">
        <v>277</v>
      </c>
      <c r="F24" s="285" t="s">
        <v>290</v>
      </c>
      <c r="G24" s="285" t="s">
        <v>281</v>
      </c>
      <c r="H24" s="286"/>
      <c r="I24" s="286"/>
      <c r="J24" s="286"/>
      <c r="K24" s="286"/>
      <c r="L24" s="286"/>
      <c r="M24" s="286"/>
      <c r="N24" s="286"/>
      <c r="O24" s="286"/>
      <c r="P24" s="287">
        <f>714.1-107.4</f>
        <v>606.70000000000005</v>
      </c>
      <c r="Q24" s="286"/>
      <c r="R24" s="286"/>
      <c r="S24" s="286"/>
      <c r="T24" s="286">
        <f t="shared" si="0"/>
        <v>606.70000000000005</v>
      </c>
      <c r="U24" s="44"/>
    </row>
    <row r="25" spans="1:21" ht="21.75" customHeight="1" x14ac:dyDescent="0.25">
      <c r="A25" s="289"/>
      <c r="B25" s="292"/>
      <c r="C25" s="293"/>
      <c r="D25" s="285" t="s">
        <v>18</v>
      </c>
      <c r="E25" s="285" t="s">
        <v>277</v>
      </c>
      <c r="F25" s="285" t="s">
        <v>291</v>
      </c>
      <c r="G25" s="285" t="s">
        <v>283</v>
      </c>
      <c r="H25" s="286">
        <v>0</v>
      </c>
      <c r="I25" s="286">
        <v>0</v>
      </c>
      <c r="J25" s="286">
        <v>0</v>
      </c>
      <c r="K25" s="286">
        <v>1</v>
      </c>
      <c r="L25" s="286">
        <v>0</v>
      </c>
      <c r="M25" s="286">
        <v>0</v>
      </c>
      <c r="N25" s="286">
        <v>0</v>
      </c>
      <c r="O25" s="286">
        <v>0</v>
      </c>
      <c r="P25" s="287">
        <f t="shared" ref="P25:Q27" si="2">O25</f>
        <v>0</v>
      </c>
      <c r="Q25" s="286">
        <f t="shared" si="2"/>
        <v>0</v>
      </c>
      <c r="R25" s="286">
        <f t="shared" si="1"/>
        <v>0</v>
      </c>
      <c r="S25" s="286">
        <f t="shared" si="1"/>
        <v>0</v>
      </c>
      <c r="T25" s="286">
        <f t="shared" si="0"/>
        <v>1</v>
      </c>
      <c r="U25" s="44"/>
    </row>
    <row r="26" spans="1:21" ht="15.75" customHeight="1" x14ac:dyDescent="0.25">
      <c r="A26" s="289"/>
      <c r="B26" s="294" t="s">
        <v>292</v>
      </c>
      <c r="C26" s="42" t="s">
        <v>276</v>
      </c>
      <c r="D26" s="285" t="s">
        <v>293</v>
      </c>
      <c r="E26" s="285" t="s">
        <v>277</v>
      </c>
      <c r="F26" s="285" t="s">
        <v>294</v>
      </c>
      <c r="G26" s="285" t="s">
        <v>281</v>
      </c>
      <c r="H26" s="286">
        <v>0</v>
      </c>
      <c r="I26" s="286">
        <v>0</v>
      </c>
      <c r="J26" s="286">
        <v>141</v>
      </c>
      <c r="K26" s="286">
        <v>0</v>
      </c>
      <c r="L26" s="286">
        <v>0</v>
      </c>
      <c r="M26" s="286">
        <v>0</v>
      </c>
      <c r="N26" s="286">
        <v>0</v>
      </c>
      <c r="O26" s="286">
        <v>0</v>
      </c>
      <c r="P26" s="287">
        <f t="shared" si="2"/>
        <v>0</v>
      </c>
      <c r="Q26" s="286">
        <f t="shared" si="2"/>
        <v>0</v>
      </c>
      <c r="R26" s="286">
        <f t="shared" si="1"/>
        <v>0</v>
      </c>
      <c r="S26" s="286">
        <f t="shared" si="1"/>
        <v>0</v>
      </c>
      <c r="T26" s="286">
        <f t="shared" si="0"/>
        <v>141</v>
      </c>
      <c r="U26" s="44"/>
    </row>
    <row r="27" spans="1:21" ht="19.5" customHeight="1" x14ac:dyDescent="0.25">
      <c r="A27" s="289"/>
      <c r="B27" s="295"/>
      <c r="C27" s="249"/>
      <c r="D27" s="285" t="s">
        <v>293</v>
      </c>
      <c r="E27" s="285" t="s">
        <v>277</v>
      </c>
      <c r="F27" s="285" t="s">
        <v>294</v>
      </c>
      <c r="G27" s="285" t="s">
        <v>283</v>
      </c>
      <c r="H27" s="286">
        <v>0</v>
      </c>
      <c r="I27" s="286">
        <v>0</v>
      </c>
      <c r="J27" s="286">
        <v>0</v>
      </c>
      <c r="K27" s="286">
        <v>70.5</v>
      </c>
      <c r="L27" s="286">
        <v>0</v>
      </c>
      <c r="M27" s="286">
        <v>0</v>
      </c>
      <c r="N27" s="286">
        <v>0</v>
      </c>
      <c r="O27" s="286">
        <v>0</v>
      </c>
      <c r="P27" s="287">
        <f t="shared" si="2"/>
        <v>0</v>
      </c>
      <c r="Q27" s="286">
        <f t="shared" si="2"/>
        <v>0</v>
      </c>
      <c r="R27" s="286">
        <f t="shared" si="1"/>
        <v>0</v>
      </c>
      <c r="S27" s="286">
        <f t="shared" si="1"/>
        <v>0</v>
      </c>
      <c r="T27" s="286">
        <f t="shared" si="0"/>
        <v>70.5</v>
      </c>
      <c r="U27" s="44"/>
    </row>
    <row r="28" spans="1:21" ht="24" customHeight="1" x14ac:dyDescent="0.25">
      <c r="A28" s="289"/>
      <c r="B28" s="295"/>
      <c r="C28" s="249"/>
      <c r="D28" s="285" t="s">
        <v>18</v>
      </c>
      <c r="E28" s="285" t="s">
        <v>277</v>
      </c>
      <c r="F28" s="285" t="s">
        <v>295</v>
      </c>
      <c r="G28" s="285" t="s">
        <v>279</v>
      </c>
      <c r="H28" s="296">
        <v>55471</v>
      </c>
      <c r="I28" s="296">
        <v>64558.6</v>
      </c>
      <c r="J28" s="296">
        <v>62740.3</v>
      </c>
      <c r="K28" s="296">
        <v>67910</v>
      </c>
      <c r="L28" s="296">
        <v>69926.5</v>
      </c>
      <c r="M28" s="296">
        <v>80492.399999999994</v>
      </c>
      <c r="N28" s="296">
        <v>91762.1</v>
      </c>
      <c r="O28" s="296">
        <v>101231.3</v>
      </c>
      <c r="P28" s="297">
        <v>119079.3</v>
      </c>
      <c r="Q28" s="287">
        <v>117237.8</v>
      </c>
      <c r="R28" s="286">
        <v>109477</v>
      </c>
      <c r="S28" s="286">
        <f t="shared" si="1"/>
        <v>109477</v>
      </c>
      <c r="T28" s="286">
        <f t="shared" si="0"/>
        <v>1049363.3000000003</v>
      </c>
      <c r="U28" s="44"/>
    </row>
    <row r="29" spans="1:21" ht="21.75" customHeight="1" x14ac:dyDescent="0.25">
      <c r="A29" s="289"/>
      <c r="B29" s="295"/>
      <c r="C29" s="249"/>
      <c r="D29" s="285" t="s">
        <v>18</v>
      </c>
      <c r="E29" s="285" t="s">
        <v>277</v>
      </c>
      <c r="F29" s="285" t="s">
        <v>295</v>
      </c>
      <c r="G29" s="285" t="s">
        <v>281</v>
      </c>
      <c r="H29" s="296">
        <v>216.4</v>
      </c>
      <c r="I29" s="296">
        <v>268.39999999999998</v>
      </c>
      <c r="J29" s="296">
        <v>343.4</v>
      </c>
      <c r="K29" s="296">
        <v>380.2</v>
      </c>
      <c r="L29" s="296">
        <v>337</v>
      </c>
      <c r="M29" s="296">
        <v>341</v>
      </c>
      <c r="N29" s="296">
        <v>0</v>
      </c>
      <c r="O29" s="296">
        <v>0</v>
      </c>
      <c r="P29" s="287">
        <v>0</v>
      </c>
      <c r="Q29" s="286">
        <f>P29</f>
        <v>0</v>
      </c>
      <c r="R29" s="286">
        <f t="shared" si="1"/>
        <v>0</v>
      </c>
      <c r="S29" s="286">
        <f t="shared" si="1"/>
        <v>0</v>
      </c>
      <c r="T29" s="286">
        <f t="shared" si="0"/>
        <v>1886.3999999999999</v>
      </c>
      <c r="U29" s="44"/>
    </row>
    <row r="30" spans="1:21" ht="24" customHeight="1" x14ac:dyDescent="0.25">
      <c r="A30" s="289"/>
      <c r="B30" s="295"/>
      <c r="C30" s="249"/>
      <c r="D30" s="285" t="s">
        <v>18</v>
      </c>
      <c r="E30" s="285" t="s">
        <v>277</v>
      </c>
      <c r="F30" s="285" t="s">
        <v>295</v>
      </c>
      <c r="G30" s="285" t="s">
        <v>282</v>
      </c>
      <c r="H30" s="296">
        <v>8073.9</v>
      </c>
      <c r="I30" s="296">
        <v>9286.4</v>
      </c>
      <c r="J30" s="296">
        <v>9020.2999999999993</v>
      </c>
      <c r="K30" s="296">
        <v>9425.2000000000007</v>
      </c>
      <c r="L30" s="296">
        <v>10547.1</v>
      </c>
      <c r="M30" s="296">
        <v>12198.3</v>
      </c>
      <c r="N30" s="296">
        <v>15809.8</v>
      </c>
      <c r="O30" s="296">
        <v>15995.7</v>
      </c>
      <c r="P30" s="297">
        <f>17836.3+926.2+24.5</f>
        <v>18787</v>
      </c>
      <c r="Q30" s="287">
        <v>17394.3</v>
      </c>
      <c r="R30" s="286">
        <v>17011</v>
      </c>
      <c r="S30" s="286">
        <f t="shared" si="1"/>
        <v>17011</v>
      </c>
      <c r="T30" s="286">
        <f t="shared" si="0"/>
        <v>160560</v>
      </c>
      <c r="U30" s="44"/>
    </row>
    <row r="31" spans="1:21" ht="25.5" customHeight="1" x14ac:dyDescent="0.25">
      <c r="A31" s="289"/>
      <c r="B31" s="295"/>
      <c r="C31" s="249"/>
      <c r="D31" s="285" t="s">
        <v>18</v>
      </c>
      <c r="E31" s="285" t="s">
        <v>277</v>
      </c>
      <c r="F31" s="285" t="s">
        <v>295</v>
      </c>
      <c r="G31" s="285" t="s">
        <v>284</v>
      </c>
      <c r="H31" s="296"/>
      <c r="I31" s="296"/>
      <c r="J31" s="296"/>
      <c r="K31" s="296">
        <v>0</v>
      </c>
      <c r="L31" s="296"/>
      <c r="M31" s="296"/>
      <c r="N31" s="296">
        <v>32.9</v>
      </c>
      <c r="O31" s="296">
        <v>29.8</v>
      </c>
      <c r="P31" s="287">
        <v>0</v>
      </c>
      <c r="Q31" s="286">
        <v>0</v>
      </c>
      <c r="R31" s="286">
        <v>0</v>
      </c>
      <c r="S31" s="286">
        <f t="shared" si="1"/>
        <v>0</v>
      </c>
      <c r="T31" s="286">
        <f t="shared" si="0"/>
        <v>62.7</v>
      </c>
      <c r="U31" s="44"/>
    </row>
    <row r="32" spans="1:21" ht="25.5" customHeight="1" x14ac:dyDescent="0.25">
      <c r="A32" s="289"/>
      <c r="B32" s="295"/>
      <c r="C32" s="249"/>
      <c r="D32" s="285" t="s">
        <v>18</v>
      </c>
      <c r="E32" s="285" t="s">
        <v>277</v>
      </c>
      <c r="F32" s="285" t="s">
        <v>295</v>
      </c>
      <c r="G32" s="285" t="s">
        <v>281</v>
      </c>
      <c r="H32" s="296">
        <v>3478.6</v>
      </c>
      <c r="I32" s="296">
        <v>3595.8</v>
      </c>
      <c r="J32" s="296"/>
      <c r="K32" s="296">
        <v>0</v>
      </c>
      <c r="L32" s="296"/>
      <c r="M32" s="296"/>
      <c r="N32" s="296"/>
      <c r="O32" s="296"/>
      <c r="P32" s="287">
        <f>O32</f>
        <v>0</v>
      </c>
      <c r="Q32" s="286">
        <f>P32</f>
        <v>0</v>
      </c>
      <c r="R32" s="286">
        <f t="shared" si="1"/>
        <v>0</v>
      </c>
      <c r="S32" s="286">
        <f t="shared" si="1"/>
        <v>0</v>
      </c>
      <c r="T32" s="286">
        <f t="shared" si="0"/>
        <v>7074.4</v>
      </c>
      <c r="U32" s="44"/>
    </row>
    <row r="33" spans="1:21" ht="25.5" customHeight="1" x14ac:dyDescent="0.25">
      <c r="A33" s="289"/>
      <c r="B33" s="295"/>
      <c r="C33" s="249"/>
      <c r="D33" s="285" t="s">
        <v>18</v>
      </c>
      <c r="E33" s="285" t="s">
        <v>277</v>
      </c>
      <c r="F33" s="285" t="s">
        <v>295</v>
      </c>
      <c r="G33" s="285" t="s">
        <v>283</v>
      </c>
      <c r="H33" s="296">
        <v>486.3</v>
      </c>
      <c r="I33" s="296">
        <v>496.9</v>
      </c>
      <c r="J33" s="296"/>
      <c r="K33" s="296">
        <v>0</v>
      </c>
      <c r="L33" s="296"/>
      <c r="M33" s="296">
        <v>0</v>
      </c>
      <c r="N33" s="296">
        <v>0</v>
      </c>
      <c r="O33" s="296">
        <v>0</v>
      </c>
      <c r="P33" s="287">
        <v>0</v>
      </c>
      <c r="Q33" s="286">
        <f>P33</f>
        <v>0</v>
      </c>
      <c r="R33" s="286">
        <f t="shared" si="1"/>
        <v>0</v>
      </c>
      <c r="S33" s="286">
        <f t="shared" si="1"/>
        <v>0</v>
      </c>
      <c r="T33" s="286">
        <f t="shared" si="0"/>
        <v>983.2</v>
      </c>
      <c r="U33" s="44"/>
    </row>
    <row r="34" spans="1:21" ht="25.5" customHeight="1" x14ac:dyDescent="0.25">
      <c r="A34" s="289"/>
      <c r="B34" s="295"/>
      <c r="C34" s="249"/>
      <c r="D34" s="285" t="s">
        <v>18</v>
      </c>
      <c r="E34" s="285" t="s">
        <v>277</v>
      </c>
      <c r="F34" s="285" t="s">
        <v>296</v>
      </c>
      <c r="G34" s="285" t="s">
        <v>279</v>
      </c>
      <c r="H34" s="296"/>
      <c r="I34" s="296"/>
      <c r="J34" s="296">
        <v>32757.9</v>
      </c>
      <c r="K34" s="296">
        <v>35111</v>
      </c>
      <c r="L34" s="296">
        <v>38950.400000000001</v>
      </c>
      <c r="M34" s="296">
        <v>42346.400000000001</v>
      </c>
      <c r="N34" s="296">
        <v>44829</v>
      </c>
      <c r="O34" s="296">
        <v>46553.8</v>
      </c>
      <c r="P34" s="297">
        <v>53140.4</v>
      </c>
      <c r="Q34" s="287">
        <v>47589.1</v>
      </c>
      <c r="R34" s="286">
        <v>46143.199999999997</v>
      </c>
      <c r="S34" s="286">
        <v>46143.199999999997</v>
      </c>
      <c r="T34" s="286">
        <f t="shared" si="0"/>
        <v>433564.4</v>
      </c>
      <c r="U34" s="44"/>
    </row>
    <row r="35" spans="1:21" ht="25.5" customHeight="1" x14ac:dyDescent="0.25">
      <c r="A35" s="289"/>
      <c r="B35" s="295"/>
      <c r="C35" s="249"/>
      <c r="D35" s="285" t="s">
        <v>18</v>
      </c>
      <c r="E35" s="285" t="s">
        <v>277</v>
      </c>
      <c r="F35" s="285" t="s">
        <v>296</v>
      </c>
      <c r="G35" s="285" t="s">
        <v>281</v>
      </c>
      <c r="H35" s="296"/>
      <c r="I35" s="296"/>
      <c r="J35" s="296">
        <v>762.6</v>
      </c>
      <c r="K35" s="296">
        <v>412</v>
      </c>
      <c r="L35" s="296">
        <v>357</v>
      </c>
      <c r="M35" s="296">
        <v>290</v>
      </c>
      <c r="N35" s="296">
        <v>0</v>
      </c>
      <c r="O35" s="296">
        <v>0</v>
      </c>
      <c r="P35" s="287">
        <v>0</v>
      </c>
      <c r="Q35" s="286">
        <f>P35</f>
        <v>0</v>
      </c>
      <c r="R35" s="286">
        <f t="shared" si="1"/>
        <v>0</v>
      </c>
      <c r="S35" s="286">
        <f t="shared" si="1"/>
        <v>0</v>
      </c>
      <c r="T35" s="286">
        <f t="shared" si="0"/>
        <v>1821.6</v>
      </c>
      <c r="U35" s="44"/>
    </row>
    <row r="36" spans="1:21" ht="25.5" customHeight="1" x14ac:dyDescent="0.25">
      <c r="A36" s="289"/>
      <c r="B36" s="295"/>
      <c r="C36" s="249"/>
      <c r="D36" s="285" t="s">
        <v>18</v>
      </c>
      <c r="E36" s="285" t="s">
        <v>277</v>
      </c>
      <c r="F36" s="285" t="s">
        <v>296</v>
      </c>
      <c r="G36" s="285" t="s">
        <v>282</v>
      </c>
      <c r="H36" s="296"/>
      <c r="I36" s="296"/>
      <c r="J36" s="296">
        <v>4635</v>
      </c>
      <c r="K36" s="296">
        <v>4958.6000000000004</v>
      </c>
      <c r="L36" s="296">
        <v>5314.3</v>
      </c>
      <c r="M36" s="296">
        <v>6772.5</v>
      </c>
      <c r="N36" s="296">
        <v>6990.4</v>
      </c>
      <c r="O36" s="296">
        <v>7601.9</v>
      </c>
      <c r="P36" s="297">
        <f>8632.4+252+214.4+8.8</f>
        <v>9107.5999999999985</v>
      </c>
      <c r="Q36" s="287">
        <v>8518.4</v>
      </c>
      <c r="R36" s="286">
        <v>8305</v>
      </c>
      <c r="S36" s="286">
        <f t="shared" si="1"/>
        <v>8305</v>
      </c>
      <c r="T36" s="286">
        <f t="shared" si="0"/>
        <v>70508.700000000012</v>
      </c>
      <c r="U36" s="44"/>
    </row>
    <row r="37" spans="1:21" ht="25.5" customHeight="1" x14ac:dyDescent="0.25">
      <c r="A37" s="289"/>
      <c r="B37" s="295"/>
      <c r="C37" s="249"/>
      <c r="D37" s="285" t="s">
        <v>18</v>
      </c>
      <c r="E37" s="285" t="s">
        <v>277</v>
      </c>
      <c r="F37" s="285" t="s">
        <v>296</v>
      </c>
      <c r="G37" s="285" t="s">
        <v>284</v>
      </c>
      <c r="H37" s="296"/>
      <c r="I37" s="296"/>
      <c r="J37" s="296"/>
      <c r="K37" s="296"/>
      <c r="L37" s="296"/>
      <c r="M37" s="296"/>
      <c r="N37" s="296"/>
      <c r="O37" s="296"/>
      <c r="P37" s="297">
        <v>874.2</v>
      </c>
      <c r="Q37" s="287">
        <v>387.1</v>
      </c>
      <c r="R37" s="286">
        <v>931.8</v>
      </c>
      <c r="S37" s="286">
        <f t="shared" si="1"/>
        <v>931.8</v>
      </c>
      <c r="T37" s="286">
        <f t="shared" si="0"/>
        <v>3124.9000000000005</v>
      </c>
      <c r="U37" s="44"/>
    </row>
    <row r="38" spans="1:21" ht="25.5" customHeight="1" x14ac:dyDescent="0.25">
      <c r="A38" s="289"/>
      <c r="B38" s="295"/>
      <c r="C38" s="249"/>
      <c r="D38" s="285" t="s">
        <v>18</v>
      </c>
      <c r="E38" s="285" t="s">
        <v>277</v>
      </c>
      <c r="F38" s="285" t="s">
        <v>296</v>
      </c>
      <c r="G38" s="285" t="s">
        <v>283</v>
      </c>
      <c r="H38" s="296"/>
      <c r="I38" s="296"/>
      <c r="J38" s="296">
        <v>89.5</v>
      </c>
      <c r="K38" s="296">
        <v>0</v>
      </c>
      <c r="L38" s="296"/>
      <c r="M38" s="296"/>
      <c r="N38" s="296"/>
      <c r="O38" s="296"/>
      <c r="P38" s="287">
        <f t="shared" ref="P38:Q40" si="3">O38</f>
        <v>0</v>
      </c>
      <c r="Q38" s="286">
        <f t="shared" si="3"/>
        <v>0</v>
      </c>
      <c r="R38" s="286">
        <f t="shared" si="1"/>
        <v>0</v>
      </c>
      <c r="S38" s="286">
        <f t="shared" si="1"/>
        <v>0</v>
      </c>
      <c r="T38" s="286">
        <f t="shared" si="0"/>
        <v>89.5</v>
      </c>
      <c r="U38" s="44"/>
    </row>
    <row r="39" spans="1:21" ht="25.5" customHeight="1" x14ac:dyDescent="0.25">
      <c r="A39" s="289"/>
      <c r="B39" s="295"/>
      <c r="C39" s="249"/>
      <c r="D39" s="285" t="s">
        <v>18</v>
      </c>
      <c r="E39" s="285" t="s">
        <v>277</v>
      </c>
      <c r="F39" s="285" t="s">
        <v>297</v>
      </c>
      <c r="G39" s="285" t="s">
        <v>282</v>
      </c>
      <c r="H39" s="296"/>
      <c r="I39" s="296"/>
      <c r="J39" s="296"/>
      <c r="K39" s="296"/>
      <c r="L39" s="296">
        <v>102.6</v>
      </c>
      <c r="M39" s="296">
        <v>46.4</v>
      </c>
      <c r="N39" s="296">
        <v>436.4</v>
      </c>
      <c r="O39" s="296">
        <v>0</v>
      </c>
      <c r="P39" s="287">
        <f t="shared" si="3"/>
        <v>0</v>
      </c>
      <c r="Q39" s="286">
        <f t="shared" si="3"/>
        <v>0</v>
      </c>
      <c r="R39" s="286">
        <f t="shared" si="1"/>
        <v>0</v>
      </c>
      <c r="S39" s="286">
        <f t="shared" si="1"/>
        <v>0</v>
      </c>
      <c r="T39" s="286">
        <f t="shared" si="0"/>
        <v>585.4</v>
      </c>
      <c r="U39" s="44"/>
    </row>
    <row r="40" spans="1:21" ht="25.5" customHeight="1" x14ac:dyDescent="0.25">
      <c r="A40" s="289"/>
      <c r="B40" s="295"/>
      <c r="C40" s="249"/>
      <c r="D40" s="285" t="s">
        <v>18</v>
      </c>
      <c r="E40" s="285" t="s">
        <v>277</v>
      </c>
      <c r="F40" s="285" t="s">
        <v>298</v>
      </c>
      <c r="G40" s="285" t="s">
        <v>279</v>
      </c>
      <c r="H40" s="296"/>
      <c r="I40" s="296"/>
      <c r="J40" s="296"/>
      <c r="K40" s="296"/>
      <c r="L40" s="296">
        <v>613.20000000000005</v>
      </c>
      <c r="M40" s="296">
        <v>283</v>
      </c>
      <c r="N40" s="296">
        <f>2616.6+1168.6</f>
        <v>3785.2</v>
      </c>
      <c r="O40" s="296">
        <v>0</v>
      </c>
      <c r="P40" s="287">
        <f t="shared" si="3"/>
        <v>0</v>
      </c>
      <c r="Q40" s="286">
        <f t="shared" si="3"/>
        <v>0</v>
      </c>
      <c r="R40" s="286">
        <f t="shared" si="1"/>
        <v>0</v>
      </c>
      <c r="S40" s="286">
        <f t="shared" si="1"/>
        <v>0</v>
      </c>
      <c r="T40" s="286">
        <f t="shared" si="0"/>
        <v>4681.3999999999996</v>
      </c>
      <c r="U40" s="44"/>
    </row>
    <row r="41" spans="1:21" ht="34.9" customHeight="1" x14ac:dyDescent="0.25">
      <c r="A41" s="289"/>
      <c r="B41" s="295"/>
      <c r="C41" s="249"/>
      <c r="D41" s="285" t="s">
        <v>18</v>
      </c>
      <c r="E41" s="285" t="s">
        <v>277</v>
      </c>
      <c r="F41" s="285" t="s">
        <v>299</v>
      </c>
      <c r="G41" s="285" t="s">
        <v>279</v>
      </c>
      <c r="H41" s="296"/>
      <c r="I41" s="296"/>
      <c r="J41" s="296"/>
      <c r="K41" s="296"/>
      <c r="L41" s="296"/>
      <c r="M41" s="296"/>
      <c r="N41" s="296">
        <v>145.4</v>
      </c>
      <c r="O41" s="296"/>
      <c r="P41" s="287">
        <f>3039+50.4</f>
        <v>3089.4</v>
      </c>
      <c r="Q41" s="286"/>
      <c r="R41" s="286">
        <f t="shared" si="1"/>
        <v>0</v>
      </c>
      <c r="S41" s="286">
        <f t="shared" si="1"/>
        <v>0</v>
      </c>
      <c r="T41" s="286">
        <f t="shared" si="0"/>
        <v>3234.8</v>
      </c>
      <c r="U41" s="44"/>
    </row>
    <row r="42" spans="1:21" ht="34.9" customHeight="1" x14ac:dyDescent="0.25">
      <c r="A42" s="289"/>
      <c r="B42" s="295"/>
      <c r="C42" s="249"/>
      <c r="D42" s="285" t="s">
        <v>18</v>
      </c>
      <c r="E42" s="285" t="s">
        <v>277</v>
      </c>
      <c r="F42" s="285" t="s">
        <v>299</v>
      </c>
      <c r="G42" s="285" t="s">
        <v>282</v>
      </c>
      <c r="H42" s="296"/>
      <c r="I42" s="296"/>
      <c r="J42" s="296"/>
      <c r="K42" s="296"/>
      <c r="L42" s="296"/>
      <c r="M42" s="296"/>
      <c r="N42" s="296">
        <v>22.2</v>
      </c>
      <c r="O42" s="296"/>
      <c r="P42" s="287">
        <f>506.5-50.4</f>
        <v>456.1</v>
      </c>
      <c r="Q42" s="286"/>
      <c r="R42" s="286">
        <f t="shared" si="1"/>
        <v>0</v>
      </c>
      <c r="S42" s="286">
        <f t="shared" si="1"/>
        <v>0</v>
      </c>
      <c r="T42" s="286">
        <f t="shared" si="0"/>
        <v>478.3</v>
      </c>
      <c r="U42" s="44"/>
    </row>
    <row r="43" spans="1:21" ht="25.5" customHeight="1" x14ac:dyDescent="0.25">
      <c r="A43" s="289"/>
      <c r="B43" s="295"/>
      <c r="C43" s="249"/>
      <c r="D43" s="285" t="s">
        <v>18</v>
      </c>
      <c r="E43" s="285" t="s">
        <v>277</v>
      </c>
      <c r="F43" s="285" t="s">
        <v>300</v>
      </c>
      <c r="G43" s="285" t="s">
        <v>281</v>
      </c>
      <c r="H43" s="296"/>
      <c r="I43" s="296"/>
      <c r="J43" s="296"/>
      <c r="K43" s="296"/>
      <c r="L43" s="296"/>
      <c r="M43" s="296"/>
      <c r="N43" s="296"/>
      <c r="O43" s="296"/>
      <c r="P43" s="287">
        <f>7500-1124.7</f>
        <v>6375.3</v>
      </c>
      <c r="Q43" s="286">
        <v>0</v>
      </c>
      <c r="R43" s="286">
        <v>0</v>
      </c>
      <c r="S43" s="286">
        <v>0</v>
      </c>
      <c r="T43" s="286">
        <f t="shared" si="0"/>
        <v>6375.3</v>
      </c>
      <c r="U43" s="44"/>
    </row>
    <row r="44" spans="1:21" ht="25.5" customHeight="1" x14ac:dyDescent="0.25">
      <c r="A44" s="289"/>
      <c r="B44" s="295"/>
      <c r="C44" s="249"/>
      <c r="D44" s="285" t="s">
        <v>18</v>
      </c>
      <c r="E44" s="285" t="s">
        <v>277</v>
      </c>
      <c r="F44" s="285" t="s">
        <v>301</v>
      </c>
      <c r="G44" s="285" t="s">
        <v>281</v>
      </c>
      <c r="H44" s="296"/>
      <c r="I44" s="296"/>
      <c r="J44" s="296"/>
      <c r="K44" s="296">
        <v>99</v>
      </c>
      <c r="L44" s="296"/>
      <c r="M44" s="296"/>
      <c r="N44" s="296"/>
      <c r="O44" s="296">
        <v>1271.2</v>
      </c>
      <c r="P44" s="287">
        <v>0</v>
      </c>
      <c r="Q44" s="286">
        <v>0</v>
      </c>
      <c r="R44" s="286">
        <f t="shared" si="1"/>
        <v>0</v>
      </c>
      <c r="S44" s="286">
        <f t="shared" si="1"/>
        <v>0</v>
      </c>
      <c r="T44" s="286">
        <f t="shared" si="0"/>
        <v>1370.2</v>
      </c>
      <c r="U44" s="44"/>
    </row>
    <row r="45" spans="1:21" ht="25.5" customHeight="1" x14ac:dyDescent="0.25">
      <c r="A45" s="289"/>
      <c r="B45" s="295"/>
      <c r="C45" s="249"/>
      <c r="D45" s="285" t="s">
        <v>18</v>
      </c>
      <c r="E45" s="285" t="s">
        <v>277</v>
      </c>
      <c r="F45" s="285" t="s">
        <v>302</v>
      </c>
      <c r="G45" s="285" t="s">
        <v>279</v>
      </c>
      <c r="H45" s="296">
        <v>181.4</v>
      </c>
      <c r="I45" s="296"/>
      <c r="J45" s="296"/>
      <c r="K45" s="296"/>
      <c r="L45" s="296"/>
      <c r="M45" s="296"/>
      <c r="N45" s="296"/>
      <c r="O45" s="296"/>
      <c r="P45" s="287">
        <f>O45</f>
        <v>0</v>
      </c>
      <c r="Q45" s="286">
        <f>P45</f>
        <v>0</v>
      </c>
      <c r="R45" s="286">
        <f t="shared" si="1"/>
        <v>0</v>
      </c>
      <c r="S45" s="286">
        <f t="shared" si="1"/>
        <v>0</v>
      </c>
      <c r="T45" s="286">
        <f t="shared" si="0"/>
        <v>181.4</v>
      </c>
      <c r="U45" s="44"/>
    </row>
    <row r="46" spans="1:21" ht="25.5" customHeight="1" x14ac:dyDescent="0.25">
      <c r="A46" s="289"/>
      <c r="B46" s="298"/>
      <c r="C46" s="253"/>
      <c r="D46" s="285" t="s">
        <v>18</v>
      </c>
      <c r="E46" s="285" t="s">
        <v>277</v>
      </c>
      <c r="F46" s="285" t="s">
        <v>302</v>
      </c>
      <c r="G46" s="285" t="s">
        <v>282</v>
      </c>
      <c r="H46" s="296">
        <v>35.299999999999997</v>
      </c>
      <c r="I46" s="296"/>
      <c r="J46" s="296"/>
      <c r="K46" s="296"/>
      <c r="L46" s="296"/>
      <c r="M46" s="296"/>
      <c r="N46" s="296"/>
      <c r="O46" s="296"/>
      <c r="P46" s="287">
        <f>O46</f>
        <v>0</v>
      </c>
      <c r="Q46" s="286">
        <f>P46</f>
        <v>0</v>
      </c>
      <c r="R46" s="286">
        <f t="shared" si="1"/>
        <v>0</v>
      </c>
      <c r="S46" s="286">
        <f t="shared" si="1"/>
        <v>0</v>
      </c>
      <c r="T46" s="286">
        <f t="shared" si="0"/>
        <v>35.299999999999997</v>
      </c>
      <c r="U46" s="44"/>
    </row>
    <row r="47" spans="1:21" ht="52.5" customHeight="1" x14ac:dyDescent="0.25">
      <c r="A47" s="293"/>
      <c r="B47" s="299" t="s">
        <v>303</v>
      </c>
      <c r="C47" s="12" t="s">
        <v>276</v>
      </c>
      <c r="D47" s="285" t="s">
        <v>18</v>
      </c>
      <c r="E47" s="285" t="s">
        <v>277</v>
      </c>
      <c r="F47" s="285" t="s">
        <v>15</v>
      </c>
      <c r="G47" s="285" t="s">
        <v>15</v>
      </c>
      <c r="H47" s="296">
        <v>13162.3</v>
      </c>
      <c r="I47" s="296">
        <v>12443.8</v>
      </c>
      <c r="J47" s="296">
        <v>16587.599999999999</v>
      </c>
      <c r="K47" s="296">
        <v>19415.5</v>
      </c>
      <c r="L47" s="296">
        <v>21251.4</v>
      </c>
      <c r="M47" s="296">
        <v>20373.5</v>
      </c>
      <c r="N47" s="296">
        <v>15029.6</v>
      </c>
      <c r="O47" s="296">
        <v>20174.3</v>
      </c>
      <c r="P47" s="297">
        <v>19445.599999999999</v>
      </c>
      <c r="Q47" s="288">
        <v>20390.900000000001</v>
      </c>
      <c r="R47" s="286">
        <v>21217.5</v>
      </c>
      <c r="S47" s="286">
        <f t="shared" si="1"/>
        <v>21217.5</v>
      </c>
      <c r="T47" s="286">
        <f t="shared" si="0"/>
        <v>220709.5</v>
      </c>
      <c r="U47" s="81"/>
    </row>
    <row r="48" spans="1:21" ht="25.5" customHeight="1" x14ac:dyDescent="0.25">
      <c r="A48" s="300" t="s">
        <v>121</v>
      </c>
      <c r="B48" s="294" t="s">
        <v>304</v>
      </c>
      <c r="C48" s="42" t="s">
        <v>276</v>
      </c>
      <c r="D48" s="285" t="s">
        <v>18</v>
      </c>
      <c r="E48" s="285" t="s">
        <v>277</v>
      </c>
      <c r="F48" s="285" t="s">
        <v>305</v>
      </c>
      <c r="G48" s="285" t="s">
        <v>281</v>
      </c>
      <c r="H48" s="296">
        <v>2036.1</v>
      </c>
      <c r="I48" s="296"/>
      <c r="J48" s="296"/>
      <c r="K48" s="296"/>
      <c r="L48" s="296"/>
      <c r="M48" s="296"/>
      <c r="N48" s="296"/>
      <c r="O48" s="296"/>
      <c r="P48" s="287">
        <f>O48</f>
        <v>0</v>
      </c>
      <c r="Q48" s="286">
        <f>P48</f>
        <v>0</v>
      </c>
      <c r="R48" s="286">
        <f t="shared" si="1"/>
        <v>0</v>
      </c>
      <c r="S48" s="286">
        <f t="shared" si="1"/>
        <v>0</v>
      </c>
      <c r="T48" s="286">
        <f t="shared" si="0"/>
        <v>2036.1</v>
      </c>
      <c r="U48" s="301">
        <v>44</v>
      </c>
    </row>
    <row r="49" spans="1:25" ht="25.5" customHeight="1" x14ac:dyDescent="0.25">
      <c r="A49" s="302"/>
      <c r="B49" s="298"/>
      <c r="C49" s="81"/>
      <c r="D49" s="285" t="s">
        <v>18</v>
      </c>
      <c r="E49" s="285" t="s">
        <v>277</v>
      </c>
      <c r="F49" s="285" t="s">
        <v>306</v>
      </c>
      <c r="G49" s="285" t="s">
        <v>281</v>
      </c>
      <c r="H49" s="296">
        <v>511.1</v>
      </c>
      <c r="I49" s="296"/>
      <c r="J49" s="296"/>
      <c r="K49" s="296"/>
      <c r="L49" s="296"/>
      <c r="M49" s="296"/>
      <c r="N49" s="296"/>
      <c r="O49" s="296"/>
      <c r="P49" s="287">
        <f>O49</f>
        <v>0</v>
      </c>
      <c r="Q49" s="286">
        <f>P49</f>
        <v>0</v>
      </c>
      <c r="R49" s="286">
        <f t="shared" si="1"/>
        <v>0</v>
      </c>
      <c r="S49" s="286">
        <f t="shared" si="1"/>
        <v>0</v>
      </c>
      <c r="T49" s="286">
        <f t="shared" si="0"/>
        <v>511.1</v>
      </c>
      <c r="U49" s="303"/>
    </row>
    <row r="50" spans="1:25" ht="25.5" customHeight="1" x14ac:dyDescent="0.25">
      <c r="A50" s="302"/>
      <c r="B50" s="294" t="s">
        <v>307</v>
      </c>
      <c r="C50" s="42" t="s">
        <v>276</v>
      </c>
      <c r="D50" s="285"/>
      <c r="E50" s="285" t="s">
        <v>277</v>
      </c>
      <c r="F50" s="285" t="s">
        <v>308</v>
      </c>
      <c r="G50" s="285" t="s">
        <v>279</v>
      </c>
      <c r="H50" s="296"/>
      <c r="I50" s="296"/>
      <c r="J50" s="296"/>
      <c r="K50" s="296"/>
      <c r="L50" s="296"/>
      <c r="M50" s="296"/>
      <c r="N50" s="296">
        <v>257.3</v>
      </c>
      <c r="O50" s="296"/>
      <c r="P50" s="287"/>
      <c r="Q50" s="286"/>
      <c r="R50" s="286">
        <f t="shared" si="1"/>
        <v>0</v>
      </c>
      <c r="S50" s="286">
        <f t="shared" si="1"/>
        <v>0</v>
      </c>
      <c r="T50" s="286">
        <f t="shared" si="0"/>
        <v>257.3</v>
      </c>
      <c r="U50" s="303"/>
    </row>
    <row r="51" spans="1:25" ht="25.5" customHeight="1" x14ac:dyDescent="0.25">
      <c r="A51" s="302"/>
      <c r="B51" s="298"/>
      <c r="C51" s="44"/>
      <c r="D51" s="285"/>
      <c r="E51" s="285" t="s">
        <v>277</v>
      </c>
      <c r="F51" s="285" t="s">
        <v>308</v>
      </c>
      <c r="G51" s="285" t="s">
        <v>281</v>
      </c>
      <c r="H51" s="296"/>
      <c r="I51" s="296"/>
      <c r="J51" s="296"/>
      <c r="K51" s="296"/>
      <c r="L51" s="296"/>
      <c r="M51" s="296"/>
      <c r="N51" s="296">
        <v>2133.4</v>
      </c>
      <c r="O51" s="296"/>
      <c r="P51" s="287"/>
      <c r="Q51" s="286">
        <f>P51</f>
        <v>0</v>
      </c>
      <c r="R51" s="286">
        <f t="shared" si="1"/>
        <v>0</v>
      </c>
      <c r="S51" s="286">
        <f t="shared" si="1"/>
        <v>0</v>
      </c>
      <c r="T51" s="286">
        <f t="shared" si="0"/>
        <v>2133.4</v>
      </c>
      <c r="U51" s="303"/>
    </row>
    <row r="52" spans="1:25" ht="68.25" customHeight="1" x14ac:dyDescent="0.25">
      <c r="A52" s="304"/>
      <c r="B52" s="305" t="s">
        <v>309</v>
      </c>
      <c r="C52" s="81"/>
      <c r="D52" s="285" t="s">
        <v>18</v>
      </c>
      <c r="E52" s="285" t="s">
        <v>277</v>
      </c>
      <c r="F52" s="285" t="s">
        <v>310</v>
      </c>
      <c r="G52" s="285" t="s">
        <v>281</v>
      </c>
      <c r="H52" s="296">
        <v>20.5</v>
      </c>
      <c r="I52" s="296">
        <v>0</v>
      </c>
      <c r="J52" s="296">
        <v>0</v>
      </c>
      <c r="K52" s="296"/>
      <c r="L52" s="296"/>
      <c r="M52" s="296"/>
      <c r="N52" s="296"/>
      <c r="O52" s="296"/>
      <c r="P52" s="287">
        <f>O52</f>
        <v>0</v>
      </c>
      <c r="Q52" s="286">
        <f>P52</f>
        <v>0</v>
      </c>
      <c r="R52" s="286">
        <f t="shared" si="1"/>
        <v>0</v>
      </c>
      <c r="S52" s="286">
        <f t="shared" si="1"/>
        <v>0</v>
      </c>
      <c r="T52" s="286">
        <f t="shared" si="0"/>
        <v>20.5</v>
      </c>
      <c r="U52" s="306"/>
    </row>
    <row r="53" spans="1:25" ht="33.75" customHeight="1" x14ac:dyDescent="0.25">
      <c r="A53" s="300" t="s">
        <v>123</v>
      </c>
      <c r="B53" s="307" t="s">
        <v>311</v>
      </c>
      <c r="C53" s="42" t="s">
        <v>276</v>
      </c>
      <c r="D53" s="285" t="s">
        <v>18</v>
      </c>
      <c r="E53" s="285" t="s">
        <v>277</v>
      </c>
      <c r="F53" s="285" t="s">
        <v>312</v>
      </c>
      <c r="G53" s="285" t="s">
        <v>281</v>
      </c>
      <c r="H53" s="296">
        <v>3.4</v>
      </c>
      <c r="I53" s="296">
        <v>3.4</v>
      </c>
      <c r="J53" s="296"/>
      <c r="K53" s="296"/>
      <c r="L53" s="296"/>
      <c r="M53" s="296"/>
      <c r="N53" s="296"/>
      <c r="O53" s="296"/>
      <c r="P53" s="287">
        <f>O53</f>
        <v>0</v>
      </c>
      <c r="Q53" s="286">
        <f>P53</f>
        <v>0</v>
      </c>
      <c r="R53" s="286">
        <f t="shared" si="1"/>
        <v>0</v>
      </c>
      <c r="S53" s="286">
        <f t="shared" si="1"/>
        <v>0</v>
      </c>
      <c r="T53" s="286">
        <f t="shared" si="0"/>
        <v>6.8</v>
      </c>
      <c r="U53" s="43"/>
    </row>
    <row r="54" spans="1:25" ht="45" customHeight="1" x14ac:dyDescent="0.25">
      <c r="A54" s="304"/>
      <c r="B54" s="308"/>
      <c r="C54" s="81"/>
      <c r="D54" s="309" t="s">
        <v>18</v>
      </c>
      <c r="E54" s="309" t="s">
        <v>277</v>
      </c>
      <c r="F54" s="285" t="s">
        <v>312</v>
      </c>
      <c r="G54" s="285" t="s">
        <v>283</v>
      </c>
      <c r="H54" s="296">
        <v>0.6</v>
      </c>
      <c r="I54" s="296">
        <v>0.6</v>
      </c>
      <c r="J54" s="296"/>
      <c r="K54" s="296"/>
      <c r="L54" s="296"/>
      <c r="M54" s="296"/>
      <c r="N54" s="296"/>
      <c r="O54" s="296"/>
      <c r="P54" s="287">
        <f>O54</f>
        <v>0</v>
      </c>
      <c r="Q54" s="286">
        <f>P54</f>
        <v>0</v>
      </c>
      <c r="R54" s="286">
        <f t="shared" si="1"/>
        <v>0</v>
      </c>
      <c r="S54" s="286">
        <f t="shared" si="1"/>
        <v>0</v>
      </c>
      <c r="T54" s="286">
        <f t="shared" si="0"/>
        <v>1.2</v>
      </c>
      <c r="U54" s="46"/>
    </row>
    <row r="55" spans="1:25" ht="38.25" customHeight="1" x14ac:dyDescent="0.25">
      <c r="A55" s="310" t="s">
        <v>126</v>
      </c>
      <c r="B55" s="42" t="s">
        <v>313</v>
      </c>
      <c r="C55" s="42" t="s">
        <v>276</v>
      </c>
      <c r="D55" s="309" t="s">
        <v>18</v>
      </c>
      <c r="E55" s="309" t="s">
        <v>314</v>
      </c>
      <c r="F55" s="285" t="s">
        <v>315</v>
      </c>
      <c r="G55" s="285" t="s">
        <v>316</v>
      </c>
      <c r="H55" s="296">
        <v>2490.8000000000002</v>
      </c>
      <c r="I55" s="296">
        <v>2975.5</v>
      </c>
      <c r="J55" s="296">
        <v>5157.1000000000004</v>
      </c>
      <c r="K55" s="296">
        <v>3953.2</v>
      </c>
      <c r="L55" s="296">
        <f>3232.2-682.5</f>
        <v>2549.6999999999998</v>
      </c>
      <c r="M55" s="296">
        <v>3541.5</v>
      </c>
      <c r="N55" s="296">
        <v>1724.1</v>
      </c>
      <c r="O55" s="296">
        <v>1824</v>
      </c>
      <c r="P55" s="297">
        <v>1920.7</v>
      </c>
      <c r="Q55" s="286">
        <v>2880.5</v>
      </c>
      <c r="R55" s="286">
        <v>2880.5</v>
      </c>
      <c r="S55" s="286">
        <v>2880.5</v>
      </c>
      <c r="T55" s="286">
        <f t="shared" si="0"/>
        <v>34778.100000000006</v>
      </c>
      <c r="U55" s="43" t="s">
        <v>317</v>
      </c>
    </row>
    <row r="56" spans="1:25" ht="42" customHeight="1" x14ac:dyDescent="0.25">
      <c r="A56" s="311"/>
      <c r="B56" s="44"/>
      <c r="C56" s="44"/>
      <c r="D56" s="309" t="s">
        <v>18</v>
      </c>
      <c r="E56" s="309" t="s">
        <v>314</v>
      </c>
      <c r="F56" s="285" t="s">
        <v>315</v>
      </c>
      <c r="G56" s="285" t="s">
        <v>318</v>
      </c>
      <c r="H56" s="296">
        <v>27</v>
      </c>
      <c r="I56" s="296"/>
      <c r="J56" s="296"/>
      <c r="K56" s="296"/>
      <c r="L56" s="296"/>
      <c r="M56" s="296"/>
      <c r="N56" s="296"/>
      <c r="O56" s="296"/>
      <c r="P56" s="287">
        <f>O56</f>
        <v>0</v>
      </c>
      <c r="Q56" s="286">
        <f>P56</f>
        <v>0</v>
      </c>
      <c r="R56" s="286">
        <f t="shared" si="1"/>
        <v>0</v>
      </c>
      <c r="S56" s="286">
        <f t="shared" si="1"/>
        <v>0</v>
      </c>
      <c r="T56" s="286">
        <f t="shared" si="0"/>
        <v>27</v>
      </c>
      <c r="U56" s="46"/>
    </row>
    <row r="57" spans="1:25" ht="42" customHeight="1" x14ac:dyDescent="0.25">
      <c r="A57" s="312"/>
      <c r="B57" s="81"/>
      <c r="C57" s="81"/>
      <c r="D57" s="309" t="s">
        <v>18</v>
      </c>
      <c r="E57" s="309" t="s">
        <v>314</v>
      </c>
      <c r="F57" s="285" t="s">
        <v>319</v>
      </c>
      <c r="G57" s="285" t="s">
        <v>316</v>
      </c>
      <c r="H57" s="296">
        <v>0</v>
      </c>
      <c r="I57" s="296"/>
      <c r="J57" s="296"/>
      <c r="K57" s="296"/>
      <c r="L57" s="296"/>
      <c r="M57" s="296"/>
      <c r="N57" s="296"/>
      <c r="O57" s="296"/>
      <c r="P57" s="287">
        <v>0</v>
      </c>
      <c r="Q57" s="286">
        <v>0</v>
      </c>
      <c r="R57" s="286">
        <v>0</v>
      </c>
      <c r="S57" s="286">
        <f>R57</f>
        <v>0</v>
      </c>
      <c r="T57" s="286">
        <f>SUM(H57:S57)</f>
        <v>0</v>
      </c>
      <c r="U57" s="313"/>
    </row>
    <row r="58" spans="1:25" ht="25.5" customHeight="1" x14ac:dyDescent="0.25">
      <c r="A58" s="310" t="s">
        <v>320</v>
      </c>
      <c r="B58" s="42" t="s">
        <v>321</v>
      </c>
      <c r="C58" s="42" t="s">
        <v>276</v>
      </c>
      <c r="D58" s="285" t="s">
        <v>18</v>
      </c>
      <c r="E58" s="309" t="s">
        <v>277</v>
      </c>
      <c r="F58" s="309" t="s">
        <v>322</v>
      </c>
      <c r="G58" s="285" t="s">
        <v>281</v>
      </c>
      <c r="H58" s="296">
        <v>274.89999999999998</v>
      </c>
      <c r="I58" s="296">
        <v>279.10000000000002</v>
      </c>
      <c r="J58" s="296">
        <v>474.8</v>
      </c>
      <c r="K58" s="296">
        <v>380</v>
      </c>
      <c r="L58" s="296">
        <v>522.29999999999995</v>
      </c>
      <c r="M58" s="296">
        <v>301.3</v>
      </c>
      <c r="N58" s="296">
        <v>218.9</v>
      </c>
      <c r="O58" s="296">
        <v>376.1</v>
      </c>
      <c r="P58" s="297">
        <v>371.5</v>
      </c>
      <c r="Q58" s="286">
        <v>604.70000000000005</v>
      </c>
      <c r="R58" s="286">
        <v>604.70000000000005</v>
      </c>
      <c r="S58" s="286">
        <f t="shared" si="1"/>
        <v>604.70000000000005</v>
      </c>
      <c r="T58" s="286">
        <f t="shared" si="0"/>
        <v>5013</v>
      </c>
      <c r="U58" s="42" t="s">
        <v>323</v>
      </c>
    </row>
    <row r="59" spans="1:25" ht="25.5" customHeight="1" x14ac:dyDescent="0.25">
      <c r="A59" s="311"/>
      <c r="B59" s="44"/>
      <c r="C59" s="44"/>
      <c r="D59" s="285" t="s">
        <v>18</v>
      </c>
      <c r="E59" s="309" t="s">
        <v>277</v>
      </c>
      <c r="F59" s="309" t="s">
        <v>322</v>
      </c>
      <c r="G59" s="285" t="s">
        <v>283</v>
      </c>
      <c r="H59" s="296">
        <v>19</v>
      </c>
      <c r="I59" s="296">
        <v>25.1</v>
      </c>
      <c r="J59" s="296">
        <v>36.799999999999997</v>
      </c>
      <c r="K59" s="296">
        <v>52.6</v>
      </c>
      <c r="L59" s="296">
        <v>76.7</v>
      </c>
      <c r="M59" s="296">
        <v>19.2</v>
      </c>
      <c r="N59" s="296">
        <v>87</v>
      </c>
      <c r="O59" s="296">
        <v>55.4</v>
      </c>
      <c r="P59" s="297">
        <v>42.4</v>
      </c>
      <c r="Q59" s="286">
        <v>36.6</v>
      </c>
      <c r="R59" s="286">
        <v>36.6</v>
      </c>
      <c r="S59" s="286">
        <f t="shared" si="1"/>
        <v>36.6</v>
      </c>
      <c r="T59" s="286">
        <f t="shared" si="0"/>
        <v>524</v>
      </c>
      <c r="U59" s="44"/>
    </row>
    <row r="60" spans="1:25" ht="25.5" customHeight="1" x14ac:dyDescent="0.25">
      <c r="A60" s="311"/>
      <c r="B60" s="44"/>
      <c r="C60" s="44"/>
      <c r="D60" s="285" t="s">
        <v>18</v>
      </c>
      <c r="E60" s="309" t="s">
        <v>277</v>
      </c>
      <c r="F60" s="309" t="s">
        <v>322</v>
      </c>
      <c r="G60" s="285" t="s">
        <v>284</v>
      </c>
      <c r="H60" s="296"/>
      <c r="I60" s="296"/>
      <c r="J60" s="296"/>
      <c r="K60" s="296"/>
      <c r="L60" s="296"/>
      <c r="M60" s="296"/>
      <c r="N60" s="296"/>
      <c r="O60" s="296"/>
      <c r="P60" s="297">
        <v>0.3</v>
      </c>
      <c r="Q60" s="286">
        <v>0</v>
      </c>
      <c r="R60" s="286">
        <v>0</v>
      </c>
      <c r="S60" s="286">
        <f t="shared" si="1"/>
        <v>0</v>
      </c>
      <c r="T60" s="286">
        <f t="shared" si="0"/>
        <v>0.3</v>
      </c>
      <c r="U60" s="44"/>
    </row>
    <row r="61" spans="1:25" s="58" customFormat="1" ht="30" customHeight="1" x14ac:dyDescent="0.25">
      <c r="A61" s="311"/>
      <c r="B61" s="44"/>
      <c r="C61" s="44"/>
      <c r="D61" s="291" t="s">
        <v>18</v>
      </c>
      <c r="E61" s="314" t="s">
        <v>277</v>
      </c>
      <c r="F61" s="314" t="s">
        <v>324</v>
      </c>
      <c r="G61" s="291" t="s">
        <v>281</v>
      </c>
      <c r="H61" s="297"/>
      <c r="I61" s="297"/>
      <c r="J61" s="297"/>
      <c r="K61" s="297"/>
      <c r="L61" s="297"/>
      <c r="M61" s="297"/>
      <c r="N61" s="297"/>
      <c r="O61" s="297"/>
      <c r="P61" s="297">
        <v>129</v>
      </c>
      <c r="Q61" s="287">
        <v>321.3</v>
      </c>
      <c r="R61" s="287">
        <v>0</v>
      </c>
      <c r="S61" s="287">
        <v>0</v>
      </c>
      <c r="T61" s="287">
        <f>SUM(H61:S61)</f>
        <v>450.3</v>
      </c>
      <c r="U61" s="44"/>
      <c r="Y61" s="58" t="s">
        <v>325</v>
      </c>
    </row>
    <row r="62" spans="1:25" s="58" customFormat="1" ht="30" customHeight="1" x14ac:dyDescent="0.25">
      <c r="A62" s="311"/>
      <c r="B62" s="44"/>
      <c r="C62" s="44"/>
      <c r="D62" s="291" t="s">
        <v>18</v>
      </c>
      <c r="E62" s="314" t="s">
        <v>277</v>
      </c>
      <c r="F62" s="314" t="s">
        <v>324</v>
      </c>
      <c r="G62" s="291" t="s">
        <v>283</v>
      </c>
      <c r="H62" s="297"/>
      <c r="I62" s="297"/>
      <c r="J62" s="297"/>
      <c r="K62" s="297"/>
      <c r="L62" s="297"/>
      <c r="M62" s="297"/>
      <c r="N62" s="297"/>
      <c r="O62" s="297"/>
      <c r="P62" s="297">
        <v>11</v>
      </c>
      <c r="Q62" s="287">
        <v>42.9</v>
      </c>
      <c r="R62" s="287">
        <v>0</v>
      </c>
      <c r="S62" s="287">
        <v>0</v>
      </c>
      <c r="T62" s="287">
        <f>SUM(H62:S62)</f>
        <v>53.9</v>
      </c>
      <c r="U62" s="44"/>
      <c r="Y62" s="58" t="s">
        <v>325</v>
      </c>
    </row>
    <row r="63" spans="1:25" s="58" customFormat="1" ht="30" customHeight="1" x14ac:dyDescent="0.25">
      <c r="A63" s="311"/>
      <c r="B63" s="44"/>
      <c r="C63" s="44"/>
      <c r="D63" s="291" t="s">
        <v>18</v>
      </c>
      <c r="E63" s="314" t="s">
        <v>277</v>
      </c>
      <c r="F63" s="314" t="s">
        <v>319</v>
      </c>
      <c r="G63" s="291" t="s">
        <v>281</v>
      </c>
      <c r="H63" s="297"/>
      <c r="I63" s="297"/>
      <c r="J63" s="297"/>
      <c r="K63" s="297"/>
      <c r="L63" s="297"/>
      <c r="M63" s="297"/>
      <c r="N63" s="297"/>
      <c r="O63" s="297"/>
      <c r="P63" s="297">
        <v>8</v>
      </c>
      <c r="Q63" s="287">
        <v>0</v>
      </c>
      <c r="R63" s="287">
        <v>0</v>
      </c>
      <c r="S63" s="287">
        <v>0</v>
      </c>
      <c r="T63" s="287">
        <f>SUM(H63:S63)</f>
        <v>8</v>
      </c>
      <c r="U63" s="44"/>
      <c r="Y63" s="58" t="s">
        <v>326</v>
      </c>
    </row>
    <row r="64" spans="1:25" s="58" customFormat="1" ht="30" customHeight="1" x14ac:dyDescent="0.25">
      <c r="A64" s="312"/>
      <c r="B64" s="81"/>
      <c r="C64" s="81"/>
      <c r="D64" s="291" t="s">
        <v>18</v>
      </c>
      <c r="E64" s="314" t="s">
        <v>277</v>
      </c>
      <c r="F64" s="314" t="s">
        <v>319</v>
      </c>
      <c r="G64" s="291" t="s">
        <v>283</v>
      </c>
      <c r="H64" s="297"/>
      <c r="I64" s="297"/>
      <c r="J64" s="297"/>
      <c r="K64" s="297"/>
      <c r="L64" s="297"/>
      <c r="M64" s="297"/>
      <c r="N64" s="297"/>
      <c r="O64" s="297"/>
      <c r="P64" s="297">
        <v>0.6</v>
      </c>
      <c r="Q64" s="287">
        <v>0</v>
      </c>
      <c r="R64" s="287">
        <v>0</v>
      </c>
      <c r="S64" s="287">
        <v>0</v>
      </c>
      <c r="T64" s="287">
        <f>SUM(H64:S64)</f>
        <v>0.6</v>
      </c>
      <c r="U64" s="81"/>
      <c r="Y64" s="58" t="s">
        <v>326</v>
      </c>
    </row>
    <row r="65" spans="1:21" ht="33" customHeight="1" x14ac:dyDescent="0.25">
      <c r="A65" s="310" t="s">
        <v>327</v>
      </c>
      <c r="B65" s="315" t="s">
        <v>328</v>
      </c>
      <c r="C65" s="42" t="s">
        <v>276</v>
      </c>
      <c r="D65" s="283" t="s">
        <v>18</v>
      </c>
      <c r="E65" s="285" t="s">
        <v>277</v>
      </c>
      <c r="F65" s="285" t="s">
        <v>329</v>
      </c>
      <c r="G65" s="285" t="s">
        <v>281</v>
      </c>
      <c r="H65" s="296">
        <v>4242.3</v>
      </c>
      <c r="I65" s="296">
        <v>0</v>
      </c>
      <c r="J65" s="296"/>
      <c r="K65" s="296"/>
      <c r="L65" s="296"/>
      <c r="M65" s="296"/>
      <c r="N65" s="296"/>
      <c r="O65" s="296"/>
      <c r="P65" s="287">
        <f t="shared" ref="P65:Q71" si="4">O65</f>
        <v>0</v>
      </c>
      <c r="Q65" s="286">
        <f t="shared" si="4"/>
        <v>0</v>
      </c>
      <c r="R65" s="286">
        <f t="shared" si="1"/>
        <v>0</v>
      </c>
      <c r="S65" s="286">
        <f t="shared" si="1"/>
        <v>0</v>
      </c>
      <c r="T65" s="286">
        <f t="shared" si="0"/>
        <v>4242.3</v>
      </c>
      <c r="U65" s="43" t="s">
        <v>330</v>
      </c>
    </row>
    <row r="66" spans="1:21" ht="33.75" customHeight="1" x14ac:dyDescent="0.25">
      <c r="A66" s="312"/>
      <c r="B66" s="316"/>
      <c r="C66" s="44"/>
      <c r="D66" s="293"/>
      <c r="E66" s="285" t="s">
        <v>277</v>
      </c>
      <c r="F66" s="285" t="s">
        <v>331</v>
      </c>
      <c r="G66" s="285" t="s">
        <v>281</v>
      </c>
      <c r="H66" s="296">
        <v>15008.8</v>
      </c>
      <c r="I66" s="296"/>
      <c r="J66" s="296"/>
      <c r="K66" s="296"/>
      <c r="L66" s="296"/>
      <c r="M66" s="296"/>
      <c r="N66" s="296"/>
      <c r="O66" s="296"/>
      <c r="P66" s="287">
        <f t="shared" si="4"/>
        <v>0</v>
      </c>
      <c r="Q66" s="286">
        <f t="shared" si="4"/>
        <v>0</v>
      </c>
      <c r="R66" s="286">
        <f t="shared" si="1"/>
        <v>0</v>
      </c>
      <c r="S66" s="286">
        <f t="shared" si="1"/>
        <v>0</v>
      </c>
      <c r="T66" s="286">
        <f t="shared" si="0"/>
        <v>15008.8</v>
      </c>
      <c r="U66" s="46"/>
    </row>
    <row r="67" spans="1:21" ht="39.6" customHeight="1" x14ac:dyDescent="0.25">
      <c r="A67" s="317" t="s">
        <v>332</v>
      </c>
      <c r="B67" s="318" t="s">
        <v>333</v>
      </c>
      <c r="C67" s="81"/>
      <c r="D67" s="285" t="s">
        <v>18</v>
      </c>
      <c r="E67" s="285" t="s">
        <v>277</v>
      </c>
      <c r="F67" s="285" t="s">
        <v>334</v>
      </c>
      <c r="G67" s="285" t="s">
        <v>281</v>
      </c>
      <c r="H67" s="296">
        <v>1500.9</v>
      </c>
      <c r="I67" s="296"/>
      <c r="J67" s="296"/>
      <c r="K67" s="296"/>
      <c r="L67" s="296"/>
      <c r="M67" s="296"/>
      <c r="N67" s="296"/>
      <c r="O67" s="296"/>
      <c r="P67" s="287">
        <f t="shared" si="4"/>
        <v>0</v>
      </c>
      <c r="Q67" s="286">
        <f t="shared" si="4"/>
        <v>0</v>
      </c>
      <c r="R67" s="286">
        <f t="shared" si="1"/>
        <v>0</v>
      </c>
      <c r="S67" s="286">
        <f t="shared" si="1"/>
        <v>0</v>
      </c>
      <c r="T67" s="286">
        <f t="shared" si="0"/>
        <v>1500.9</v>
      </c>
      <c r="U67" s="218"/>
    </row>
    <row r="68" spans="1:21" ht="53.25" customHeight="1" x14ac:dyDescent="0.25">
      <c r="A68" s="310" t="s">
        <v>335</v>
      </c>
      <c r="B68" s="315" t="s">
        <v>336</v>
      </c>
      <c r="C68" s="42" t="s">
        <v>276</v>
      </c>
      <c r="D68" s="285" t="s">
        <v>18</v>
      </c>
      <c r="E68" s="285" t="s">
        <v>277</v>
      </c>
      <c r="F68" s="285" t="s">
        <v>337</v>
      </c>
      <c r="G68" s="285" t="s">
        <v>283</v>
      </c>
      <c r="H68" s="296">
        <v>2</v>
      </c>
      <c r="I68" s="296"/>
      <c r="J68" s="296"/>
      <c r="K68" s="296"/>
      <c r="L68" s="296"/>
      <c r="M68" s="296"/>
      <c r="N68" s="296"/>
      <c r="O68" s="296"/>
      <c r="P68" s="287">
        <f t="shared" si="4"/>
        <v>0</v>
      </c>
      <c r="Q68" s="286">
        <f t="shared" si="4"/>
        <v>0</v>
      </c>
      <c r="R68" s="286">
        <f t="shared" si="1"/>
        <v>0</v>
      </c>
      <c r="S68" s="286">
        <f t="shared" si="1"/>
        <v>0</v>
      </c>
      <c r="T68" s="286">
        <f t="shared" si="0"/>
        <v>2</v>
      </c>
      <c r="U68" s="43" t="s">
        <v>338</v>
      </c>
    </row>
    <row r="69" spans="1:21" ht="66.75" customHeight="1" x14ac:dyDescent="0.25">
      <c r="A69" s="312"/>
      <c r="B69" s="316"/>
      <c r="C69" s="81"/>
      <c r="D69" s="285" t="s">
        <v>18</v>
      </c>
      <c r="E69" s="285" t="s">
        <v>277</v>
      </c>
      <c r="F69" s="285" t="s">
        <v>337</v>
      </c>
      <c r="G69" s="285" t="s">
        <v>281</v>
      </c>
      <c r="H69" s="296">
        <v>3</v>
      </c>
      <c r="I69" s="296"/>
      <c r="J69" s="296"/>
      <c r="K69" s="296"/>
      <c r="L69" s="296"/>
      <c r="M69" s="296"/>
      <c r="N69" s="296"/>
      <c r="O69" s="296"/>
      <c r="P69" s="287">
        <f t="shared" si="4"/>
        <v>0</v>
      </c>
      <c r="Q69" s="286">
        <f t="shared" si="4"/>
        <v>0</v>
      </c>
      <c r="R69" s="286">
        <f t="shared" si="1"/>
        <v>0</v>
      </c>
      <c r="S69" s="286">
        <f t="shared" si="1"/>
        <v>0</v>
      </c>
      <c r="T69" s="286">
        <f t="shared" si="0"/>
        <v>3</v>
      </c>
      <c r="U69" s="46"/>
    </row>
    <row r="70" spans="1:21" ht="32.25" customHeight="1" x14ac:dyDescent="0.25">
      <c r="A70" s="319" t="s">
        <v>339</v>
      </c>
      <c r="B70" s="43" t="s">
        <v>340</v>
      </c>
      <c r="C70" s="42" t="s">
        <v>276</v>
      </c>
      <c r="D70" s="285" t="s">
        <v>18</v>
      </c>
      <c r="E70" s="285" t="s">
        <v>341</v>
      </c>
      <c r="F70" s="285" t="s">
        <v>342</v>
      </c>
      <c r="G70" s="12">
        <v>622</v>
      </c>
      <c r="H70" s="296">
        <v>13</v>
      </c>
      <c r="I70" s="296">
        <v>13</v>
      </c>
      <c r="J70" s="320"/>
      <c r="K70" s="320"/>
      <c r="L70" s="320"/>
      <c r="M70" s="320"/>
      <c r="N70" s="320"/>
      <c r="O70" s="320"/>
      <c r="P70" s="287">
        <f t="shared" si="4"/>
        <v>0</v>
      </c>
      <c r="Q70" s="286">
        <f t="shared" si="4"/>
        <v>0</v>
      </c>
      <c r="R70" s="286">
        <f t="shared" si="1"/>
        <v>0</v>
      </c>
      <c r="S70" s="286">
        <f t="shared" si="1"/>
        <v>0</v>
      </c>
      <c r="T70" s="286">
        <f t="shared" si="0"/>
        <v>26</v>
      </c>
      <c r="U70" s="43" t="s">
        <v>343</v>
      </c>
    </row>
    <row r="71" spans="1:21" ht="25.5" customHeight="1" x14ac:dyDescent="0.25">
      <c r="A71" s="319"/>
      <c r="B71" s="46"/>
      <c r="C71" s="81"/>
      <c r="D71" s="285" t="s">
        <v>18</v>
      </c>
      <c r="E71" s="285" t="s">
        <v>341</v>
      </c>
      <c r="F71" s="285" t="s">
        <v>342</v>
      </c>
      <c r="G71" s="12">
        <v>244</v>
      </c>
      <c r="H71" s="296"/>
      <c r="I71" s="296"/>
      <c r="J71" s="296"/>
      <c r="K71" s="296"/>
      <c r="L71" s="296"/>
      <c r="M71" s="296"/>
      <c r="N71" s="296"/>
      <c r="O71" s="296"/>
      <c r="P71" s="287">
        <f t="shared" si="4"/>
        <v>0</v>
      </c>
      <c r="Q71" s="286">
        <f t="shared" si="4"/>
        <v>0</v>
      </c>
      <c r="R71" s="286">
        <f t="shared" si="1"/>
        <v>0</v>
      </c>
      <c r="S71" s="286">
        <f t="shared" si="1"/>
        <v>0</v>
      </c>
      <c r="T71" s="286">
        <f t="shared" si="0"/>
        <v>0</v>
      </c>
      <c r="U71" s="321"/>
    </row>
    <row r="72" spans="1:21" ht="25.5" customHeight="1" x14ac:dyDescent="0.25">
      <c r="A72" s="322" t="s">
        <v>344</v>
      </c>
      <c r="B72" s="323"/>
      <c r="C72" s="324"/>
      <c r="D72" s="324"/>
      <c r="E72" s="325"/>
      <c r="F72" s="324"/>
      <c r="G72" s="324"/>
      <c r="H72" s="296">
        <f t="shared" ref="H72:N72" si="5">SUM(H7:H71)</f>
        <v>198091.59999999992</v>
      </c>
      <c r="I72" s="296">
        <f t="shared" si="5"/>
        <v>204824.59999999998</v>
      </c>
      <c r="J72" s="296">
        <f t="shared" si="5"/>
        <v>219030.49999999997</v>
      </c>
      <c r="K72" s="296">
        <f t="shared" si="5"/>
        <v>218633.10000000003</v>
      </c>
      <c r="L72" s="296">
        <f t="shared" si="5"/>
        <v>229336.90000000002</v>
      </c>
      <c r="M72" s="296">
        <f t="shared" si="5"/>
        <v>267495.39999999997</v>
      </c>
      <c r="N72" s="296">
        <f t="shared" si="5"/>
        <v>275550.39999999997</v>
      </c>
      <c r="O72" s="296">
        <f>SUM(O7:O71)</f>
        <v>310856.80000000005</v>
      </c>
      <c r="P72" s="297">
        <f>SUM(P7:P71)</f>
        <v>356848.39999999997</v>
      </c>
      <c r="Q72" s="296">
        <f>SUM(Q7:Q71)</f>
        <v>334538.2</v>
      </c>
      <c r="R72" s="296">
        <f>SUM(R7:R71)</f>
        <v>321243</v>
      </c>
      <c r="S72" s="296">
        <f>SUM(S7:S71)</f>
        <v>321243</v>
      </c>
      <c r="T72" s="286">
        <f t="shared" si="0"/>
        <v>3257691.9</v>
      </c>
      <c r="U72" s="38"/>
    </row>
    <row r="73" spans="1:21" ht="25.5" customHeight="1" x14ac:dyDescent="0.25">
      <c r="A73" s="322" t="s">
        <v>345</v>
      </c>
      <c r="B73" s="323"/>
      <c r="C73" s="326"/>
      <c r="D73" s="326"/>
      <c r="E73" s="326"/>
      <c r="F73" s="326"/>
      <c r="G73" s="326"/>
      <c r="H73" s="296">
        <f t="shared" ref="H73:S73" si="6">H72</f>
        <v>198091.59999999992</v>
      </c>
      <c r="I73" s="296">
        <f t="shared" si="6"/>
        <v>204824.59999999998</v>
      </c>
      <c r="J73" s="296">
        <f t="shared" si="6"/>
        <v>219030.49999999997</v>
      </c>
      <c r="K73" s="296">
        <f t="shared" si="6"/>
        <v>218633.10000000003</v>
      </c>
      <c r="L73" s="296">
        <f t="shared" si="6"/>
        <v>229336.90000000002</v>
      </c>
      <c r="M73" s="296">
        <f t="shared" si="6"/>
        <v>267495.39999999997</v>
      </c>
      <c r="N73" s="296">
        <f t="shared" si="6"/>
        <v>275550.39999999997</v>
      </c>
      <c r="O73" s="296">
        <f t="shared" si="6"/>
        <v>310856.80000000005</v>
      </c>
      <c r="P73" s="297">
        <f t="shared" si="6"/>
        <v>356848.39999999997</v>
      </c>
      <c r="Q73" s="286">
        <f t="shared" si="6"/>
        <v>334538.2</v>
      </c>
      <c r="R73" s="286">
        <f t="shared" si="6"/>
        <v>321243</v>
      </c>
      <c r="S73" s="286">
        <f t="shared" si="6"/>
        <v>321243</v>
      </c>
      <c r="T73" s="286">
        <f t="shared" si="0"/>
        <v>3257691.9</v>
      </c>
      <c r="U73" s="38"/>
    </row>
    <row r="74" spans="1:21" ht="25.5" customHeight="1" x14ac:dyDescent="0.25">
      <c r="A74" s="322" t="s">
        <v>325</v>
      </c>
      <c r="B74" s="323"/>
      <c r="C74" s="326" t="s">
        <v>325</v>
      </c>
      <c r="D74" s="326"/>
      <c r="E74" s="326"/>
      <c r="F74" s="326"/>
      <c r="G74" s="326"/>
      <c r="H74" s="296">
        <f>H26+H27+H28+H29+H30+H31+H32+H33+H34+H35+H36+H38+H45+H46+H48+H49+H55+H56+H58+H59+H65+H66</f>
        <v>92552.900000000023</v>
      </c>
      <c r="I74" s="296">
        <f>I26+I27+I28+I29+I30+I31+I32+I33+I34+I35+I36+I38+I45+I46+I48+I49+I55+I56+I58+I59+I65+I66</f>
        <v>81485.8</v>
      </c>
      <c r="J74" s="296">
        <f>J26+J27+J28+J29+J30+J31+J32+J33+J34+J35+J36+J38+J45+J46+J48+J49+J55+J56+J58+J59+J65+J66</f>
        <v>116158.70000000001</v>
      </c>
      <c r="K74" s="296">
        <f>K26+K27+K28+K29+K30+K31+K32+K33+K34+K35+K36+K38+K45+K46+K48+K49+K55+K56+K58+K59+K65+K66+K44</f>
        <v>122752.3</v>
      </c>
      <c r="L74" s="296">
        <f>L26+L27+L28+L29+L30+L31+L32+L33+L34+L35+L36+L38+L45+L46+L48+L49+L55+L56+L58+L59+L65+L66+L39+L40</f>
        <v>129296.8</v>
      </c>
      <c r="M74" s="296">
        <f>M26+M27+M28+M29+M30+M31+M32+M33+M34+M35+M36+M38+M45+M46+M48+M49+M55+M56+M58+M59+M65+M66+M39+M40+M23</f>
        <v>147632</v>
      </c>
      <c r="N74" s="296">
        <f>N26+N27+N28+N29+N30+N31+N32+N33+N34+N35+N36+N38+N45+N46+N48+N49+N55+N56+N58+N59+N65+N66+N39+N40+N51+N50+N41+N42</f>
        <v>168234.09999999998</v>
      </c>
      <c r="O74" s="296">
        <f>O26+O27+O28+O29+O30+O31+O32+O33+O34+O35+O36+O38+O45+O46+O48+O49+O55+O56+O58+O59+O65+O66+O44</f>
        <v>174939.2</v>
      </c>
      <c r="P74" s="297">
        <f>P26+P27+P28+P29+P30+P31+P32+P33+P34+P35+P36+P38+P43+P45+P46+P48+P49+P55+P56+P58+P59+P65+P66+P37+P60+P42+P41+P61+P62</f>
        <v>213384.19999999998</v>
      </c>
      <c r="Q74" s="296">
        <f>Q26+Q27+Q28+Q29+Q30+Q31+Q32+Q33+Q34+Q35+Q36+Q38+Q45+Q46+Q48+Q49+Q55+Q56+Q58+Q59+Q65+Q66+Q37+Q60+Q61+Q62</f>
        <v>195012.7</v>
      </c>
      <c r="R74" s="296">
        <f>R26+R27+R28+R29+R30+R31+R32+R33+R34+R35+R36+R38+R45+R46+R48+R49+R55+R56+R58+R59+R65+R66+R37+R60</f>
        <v>185389.80000000002</v>
      </c>
      <c r="S74" s="296">
        <f>S26+S27+S28+S29+S30+S31+S32+S33+S34+S35+S36+S38+S45+S46+S48+S49+S55+S56+S58+S59+S65+S66+S37+S60</f>
        <v>185389.80000000002</v>
      </c>
      <c r="T74" s="286">
        <f t="shared" si="0"/>
        <v>1812228.3</v>
      </c>
      <c r="U74" s="38"/>
    </row>
    <row r="75" spans="1:21" ht="25.5" customHeight="1" x14ac:dyDescent="0.25">
      <c r="A75" s="322" t="s">
        <v>346</v>
      </c>
      <c r="B75" s="323"/>
      <c r="C75" s="326" t="s">
        <v>346</v>
      </c>
      <c r="D75" s="326"/>
      <c r="E75" s="326"/>
      <c r="F75" s="326"/>
      <c r="G75" s="326"/>
      <c r="H75" s="296">
        <f>H7+H8+H9+H10+H20+H21+H23+H25+H52+H53+H54+H67+H68+H69+H70+H71</f>
        <v>92376.4</v>
      </c>
      <c r="I75" s="296">
        <f>I7+I8+I9+I10+I20+I21+I23+I25+I52+I53+I54+I67+I68+I69+I70+I71</f>
        <v>110895</v>
      </c>
      <c r="J75" s="296">
        <f>J7+J8+J9+J10+J20+J21+J23+J25+J52+J53+J54+J67+J68+J69+J70+J71</f>
        <v>86284.2</v>
      </c>
      <c r="K75" s="296">
        <f>K7+K8+K9+K10+K20+K21+K23+K25+K52+K53+K54+K67+K68+K69+K70+K71</f>
        <v>76465.3</v>
      </c>
      <c r="L75" s="296">
        <f>L7+L8+L9+L10+L20+L21+L23+L25+L52+L53+L54+L67+L68+L69+L70+L71</f>
        <v>78788.700000000012</v>
      </c>
      <c r="M75" s="296">
        <f>M7+M8+M9+M10+M20+M21+M25+M52+M53+M54+M67+M68+M69+M70+M71+M22</f>
        <v>99489.9</v>
      </c>
      <c r="N75" s="296">
        <f>N7+N8+N9+N10+N20+N21+N23+N25+N52+N53+N54+N67+N68+N69+N70+N71+N22</f>
        <v>92286.7</v>
      </c>
      <c r="O75" s="296">
        <f>O7+O8+O9+O10+O20+O21+O23+O25+O52+O53+O54+O67+O68+O69+O70+O71+O22+O12+O13+O14+O16+O17+O18+O19</f>
        <v>115743.3</v>
      </c>
      <c r="P75" s="297">
        <f>P7+P8+P9+P10+P20+P21+P23+P24+P25+P52+P53+P54+P67+P68+P69+P70+P71+P22+P12+P13+P14+P16+P17+P18+P19+P57+P63+P64</f>
        <v>124018.6</v>
      </c>
      <c r="Q75" s="296">
        <f>Q7+Q8+Q9+Q10+Q20+Q21+Q23+Q25+Q52+Q53+Q54+Q67+Q68+Q69+Q70+Q71+Q22+Q12+Q13+Q14+Q16+Q17+Q18+Q19+Q11+Q15</f>
        <v>119134.6</v>
      </c>
      <c r="R75" s="296">
        <f>R7+R8+R9+R10+R20+R21+R23+R25+R52+R53+R54+R67+R68+R69+R70+R71+R22+R12+R13+R14+R16+R17+R18+R19+R11+R15</f>
        <v>114635.69999999998</v>
      </c>
      <c r="S75" s="296">
        <f>S7+S8+S9+S10+S20+S21+S23+S25+S52+S53+S54+S67+S68+S69+S70+S71+S22+S12+S13+S14+S16+S17+S18+S19+S11+S15</f>
        <v>114635.69999999998</v>
      </c>
      <c r="T75" s="296">
        <f>T7+T8+T9+T10+T20+T21+T23+T25+T52+T53+T54+T67+T68+T69+T70+T71+T22+T12+T13+T14+T16+T17+T18+T19+T11+T15</f>
        <v>1225138.8000000003</v>
      </c>
      <c r="U75" s="38"/>
    </row>
    <row r="76" spans="1:21" ht="25.5" customHeight="1" x14ac:dyDescent="0.25">
      <c r="A76" s="322" t="s">
        <v>347</v>
      </c>
      <c r="B76" s="323"/>
      <c r="C76" s="326" t="s">
        <v>347</v>
      </c>
      <c r="D76" s="326"/>
      <c r="E76" s="326"/>
      <c r="F76" s="326"/>
      <c r="G76" s="326"/>
      <c r="H76" s="296">
        <f t="shared" ref="H76:O76" si="7">H47</f>
        <v>13162.3</v>
      </c>
      <c r="I76" s="296">
        <f t="shared" si="7"/>
        <v>12443.8</v>
      </c>
      <c r="J76" s="296">
        <f t="shared" si="7"/>
        <v>16587.599999999999</v>
      </c>
      <c r="K76" s="296">
        <f t="shared" si="7"/>
        <v>19415.5</v>
      </c>
      <c r="L76" s="296">
        <f t="shared" si="7"/>
        <v>21251.4</v>
      </c>
      <c r="M76" s="296">
        <f t="shared" si="7"/>
        <v>20373.5</v>
      </c>
      <c r="N76" s="296">
        <f t="shared" si="7"/>
        <v>15029.6</v>
      </c>
      <c r="O76" s="296">
        <f t="shared" si="7"/>
        <v>20174.3</v>
      </c>
      <c r="P76" s="297">
        <f>P47</f>
        <v>19445.599999999999</v>
      </c>
      <c r="Q76" s="296">
        <f>Q47</f>
        <v>20390.900000000001</v>
      </c>
      <c r="R76" s="296">
        <f>R47</f>
        <v>21217.5</v>
      </c>
      <c r="S76" s="296">
        <f>S47</f>
        <v>21217.5</v>
      </c>
      <c r="T76" s="286">
        <f t="shared" si="0"/>
        <v>220709.5</v>
      </c>
      <c r="U76" s="38"/>
    </row>
    <row r="77" spans="1:21" s="330" customFormat="1" ht="25.5" customHeight="1" x14ac:dyDescent="0.25">
      <c r="A77" s="327"/>
      <c r="B77" s="327"/>
      <c r="C77" s="328"/>
      <c r="D77" s="328"/>
      <c r="E77" s="328"/>
      <c r="F77" s="328"/>
      <c r="G77" s="328"/>
      <c r="H77" s="328"/>
      <c r="I77" s="329"/>
      <c r="J77" s="329"/>
      <c r="K77" s="237"/>
      <c r="L77" s="237"/>
      <c r="M77" s="237"/>
      <c r="N77" s="237"/>
      <c r="O77" s="237"/>
      <c r="P77" s="197"/>
      <c r="Q77" s="237"/>
      <c r="R77" s="237"/>
      <c r="S77" s="237"/>
      <c r="T77" s="237"/>
      <c r="U77" s="237"/>
    </row>
    <row r="78" spans="1:21" s="237" customFormat="1" ht="25.5" customHeight="1" x14ac:dyDescent="0.25">
      <c r="A78" s="331"/>
      <c r="B78" s="331"/>
      <c r="C78" s="332"/>
      <c r="D78" s="332"/>
      <c r="E78" s="332"/>
      <c r="F78" s="332"/>
      <c r="G78" s="332"/>
      <c r="H78" s="332"/>
      <c r="I78" s="332"/>
      <c r="J78" s="332"/>
      <c r="K78" s="332"/>
      <c r="P78" s="197"/>
      <c r="T78" s="333"/>
    </row>
    <row r="79" spans="1:21" ht="25.5" customHeight="1" x14ac:dyDescent="0.25">
      <c r="A79" s="334" t="s">
        <v>33</v>
      </c>
      <c r="B79" s="334"/>
      <c r="C79" s="334"/>
      <c r="D79" s="335"/>
      <c r="E79" s="335"/>
      <c r="F79" s="335"/>
      <c r="G79" s="335"/>
      <c r="H79" s="335"/>
      <c r="I79" s="336"/>
      <c r="U79" s="336" t="s">
        <v>34</v>
      </c>
    </row>
    <row r="80" spans="1:21" ht="25.5" customHeight="1" x14ac:dyDescent="0.25">
      <c r="A80" s="337"/>
      <c r="B80" s="338"/>
      <c r="C80" s="339"/>
      <c r="D80" s="339"/>
      <c r="E80" s="339"/>
      <c r="F80" s="339"/>
      <c r="G80" s="339"/>
      <c r="H80" s="339"/>
    </row>
    <row r="81" spans="1:8" ht="25.5" customHeight="1" x14ac:dyDescent="0.25">
      <c r="A81" s="337"/>
      <c r="B81" s="338"/>
      <c r="C81" s="339"/>
      <c r="D81" s="339"/>
      <c r="E81" s="339"/>
      <c r="F81" s="339"/>
      <c r="G81" s="339"/>
      <c r="H81" s="339"/>
    </row>
    <row r="82" spans="1:8" ht="25.5" customHeight="1" x14ac:dyDescent="0.25">
      <c r="A82" s="337"/>
      <c r="B82" s="338"/>
      <c r="C82" s="339"/>
      <c r="D82" s="339"/>
      <c r="E82" s="339"/>
      <c r="F82" s="339"/>
      <c r="G82" s="339"/>
      <c r="H82" s="339"/>
    </row>
    <row r="83" spans="1:8" ht="25.5" customHeight="1" x14ac:dyDescent="0.25">
      <c r="A83" s="337"/>
      <c r="B83" s="338"/>
      <c r="C83" s="339"/>
      <c r="D83" s="339"/>
      <c r="E83" s="339"/>
      <c r="F83" s="339"/>
      <c r="G83" s="339"/>
      <c r="H83" s="339"/>
    </row>
    <row r="84" spans="1:8" ht="25.5" customHeight="1" x14ac:dyDescent="0.25">
      <c r="A84" s="337"/>
      <c r="B84" s="338"/>
      <c r="C84" s="339"/>
      <c r="D84" s="339"/>
      <c r="E84" s="339"/>
      <c r="F84" s="339"/>
      <c r="G84" s="339"/>
      <c r="H84" s="339"/>
    </row>
    <row r="85" spans="1:8" ht="25.5" customHeight="1" x14ac:dyDescent="0.25">
      <c r="A85" s="337"/>
      <c r="B85" s="338"/>
      <c r="C85" s="339"/>
      <c r="D85" s="339"/>
      <c r="E85" s="339"/>
      <c r="F85" s="339"/>
      <c r="G85" s="339"/>
      <c r="H85" s="339"/>
    </row>
    <row r="86" spans="1:8" ht="25.5" customHeight="1" x14ac:dyDescent="0.25">
      <c r="A86" s="337"/>
      <c r="B86" s="338"/>
      <c r="C86" s="339"/>
      <c r="D86" s="339"/>
      <c r="E86" s="339"/>
      <c r="F86" s="339"/>
      <c r="G86" s="339"/>
      <c r="H86" s="339"/>
    </row>
    <row r="87" spans="1:8" ht="25.5" customHeight="1" x14ac:dyDescent="0.25">
      <c r="A87" s="337"/>
      <c r="B87" s="338"/>
      <c r="C87" s="339"/>
      <c r="D87" s="339"/>
      <c r="E87" s="339"/>
      <c r="F87" s="339"/>
      <c r="G87" s="339"/>
      <c r="H87" s="339"/>
    </row>
    <row r="88" spans="1:8" ht="25.5" customHeight="1" x14ac:dyDescent="0.25">
      <c r="A88" s="337"/>
      <c r="B88" s="338"/>
      <c r="C88" s="339"/>
      <c r="D88" s="339"/>
      <c r="E88" s="339"/>
      <c r="F88" s="339"/>
      <c r="G88" s="339"/>
      <c r="H88" s="339"/>
    </row>
    <row r="89" spans="1:8" ht="25.5" customHeight="1" x14ac:dyDescent="0.25">
      <c r="A89" s="337"/>
      <c r="B89" s="338"/>
      <c r="C89" s="339"/>
      <c r="D89" s="339"/>
      <c r="E89" s="339"/>
      <c r="F89" s="339"/>
      <c r="G89" s="339"/>
      <c r="H89" s="339"/>
    </row>
    <row r="90" spans="1:8" ht="25.5" customHeight="1" x14ac:dyDescent="0.25">
      <c r="A90" s="337"/>
      <c r="B90" s="338"/>
      <c r="C90" s="339"/>
      <c r="D90" s="339"/>
      <c r="E90" s="339"/>
      <c r="F90" s="339"/>
      <c r="G90" s="339"/>
      <c r="H90" s="339"/>
    </row>
    <row r="91" spans="1:8" ht="25.5" customHeight="1" x14ac:dyDescent="0.25">
      <c r="A91" s="337"/>
      <c r="B91" s="338"/>
      <c r="C91" s="339"/>
      <c r="D91" s="339"/>
      <c r="E91" s="339"/>
      <c r="F91" s="339"/>
      <c r="G91" s="339"/>
      <c r="H91" s="339"/>
    </row>
    <row r="92" spans="1:8" ht="25.5" customHeight="1" x14ac:dyDescent="0.25">
      <c r="A92" s="337"/>
      <c r="B92" s="338"/>
      <c r="C92" s="339"/>
      <c r="D92" s="339"/>
      <c r="E92" s="339"/>
      <c r="F92" s="339"/>
      <c r="G92" s="339"/>
      <c r="H92" s="339"/>
    </row>
    <row r="93" spans="1:8" ht="25.5" customHeight="1" x14ac:dyDescent="0.25">
      <c r="A93" s="337"/>
      <c r="B93" s="338"/>
      <c r="C93" s="339"/>
      <c r="D93" s="339"/>
      <c r="E93" s="339"/>
      <c r="F93" s="339"/>
      <c r="G93" s="339"/>
      <c r="H93" s="339"/>
    </row>
    <row r="94" spans="1:8" ht="25.5" customHeight="1" x14ac:dyDescent="0.25">
      <c r="A94" s="337"/>
      <c r="B94" s="338"/>
      <c r="C94" s="339"/>
      <c r="D94" s="339"/>
      <c r="E94" s="339"/>
      <c r="F94" s="339"/>
      <c r="G94" s="339"/>
      <c r="H94" s="339"/>
    </row>
    <row r="95" spans="1:8" ht="25.5" customHeight="1" x14ac:dyDescent="0.25">
      <c r="A95" s="337"/>
      <c r="B95" s="338"/>
      <c r="C95" s="339"/>
      <c r="D95" s="339"/>
      <c r="E95" s="339"/>
      <c r="F95" s="339"/>
      <c r="G95" s="339"/>
      <c r="H95" s="339"/>
    </row>
    <row r="96" spans="1:8" ht="25.5" customHeight="1" x14ac:dyDescent="0.25">
      <c r="A96" s="337"/>
      <c r="B96" s="338"/>
      <c r="C96" s="339"/>
      <c r="D96" s="339"/>
      <c r="E96" s="339"/>
      <c r="F96" s="339"/>
      <c r="G96" s="339"/>
      <c r="H96" s="339"/>
    </row>
    <row r="97" spans="1:8" ht="25.5" customHeight="1" x14ac:dyDescent="0.25">
      <c r="A97" s="337"/>
      <c r="B97" s="338"/>
      <c r="C97" s="339"/>
      <c r="D97" s="339"/>
      <c r="E97" s="339"/>
      <c r="F97" s="339"/>
      <c r="G97" s="339"/>
      <c r="H97" s="339"/>
    </row>
    <row r="98" spans="1:8" ht="25.5" customHeight="1" x14ac:dyDescent="0.25">
      <c r="A98" s="337"/>
      <c r="B98" s="338"/>
      <c r="C98" s="339"/>
      <c r="D98" s="339"/>
      <c r="E98" s="339"/>
      <c r="F98" s="339"/>
      <c r="G98" s="339"/>
      <c r="H98" s="339"/>
    </row>
    <row r="99" spans="1:8" ht="25.5" customHeight="1" x14ac:dyDescent="0.25">
      <c r="A99" s="337"/>
      <c r="B99" s="338"/>
      <c r="C99" s="339"/>
      <c r="D99" s="339"/>
      <c r="E99" s="339"/>
      <c r="F99" s="339"/>
      <c r="G99" s="339"/>
      <c r="H99" s="339"/>
    </row>
    <row r="100" spans="1:8" ht="25.5" customHeight="1" x14ac:dyDescent="0.25">
      <c r="A100" s="337"/>
      <c r="B100" s="338"/>
      <c r="C100" s="339"/>
      <c r="D100" s="339"/>
      <c r="E100" s="339"/>
      <c r="F100" s="339"/>
      <c r="G100" s="339"/>
      <c r="H100" s="339"/>
    </row>
    <row r="101" spans="1:8" ht="25.5" customHeight="1" x14ac:dyDescent="0.25">
      <c r="A101" s="337"/>
      <c r="B101" s="338"/>
      <c r="C101" s="339"/>
      <c r="D101" s="339"/>
      <c r="E101" s="339"/>
      <c r="F101" s="339"/>
      <c r="G101" s="339"/>
      <c r="H101" s="339"/>
    </row>
    <row r="102" spans="1:8" ht="25.5" customHeight="1" x14ac:dyDescent="0.25">
      <c r="A102" s="337"/>
      <c r="B102" s="338"/>
      <c r="C102" s="339"/>
      <c r="D102" s="339"/>
      <c r="E102" s="339"/>
      <c r="F102" s="339"/>
      <c r="G102" s="339"/>
      <c r="H102" s="339"/>
    </row>
    <row r="103" spans="1:8" ht="25.5" customHeight="1" x14ac:dyDescent="0.25">
      <c r="A103" s="337"/>
      <c r="B103" s="338"/>
      <c r="C103" s="339"/>
      <c r="D103" s="339"/>
      <c r="E103" s="339"/>
      <c r="F103" s="339"/>
      <c r="G103" s="339"/>
      <c r="H103" s="339"/>
    </row>
    <row r="104" spans="1:8" ht="25.5" customHeight="1" x14ac:dyDescent="0.25">
      <c r="A104" s="337"/>
      <c r="B104" s="338"/>
      <c r="C104" s="339"/>
      <c r="D104" s="339"/>
      <c r="E104" s="339"/>
      <c r="F104" s="339"/>
      <c r="G104" s="339"/>
      <c r="H104" s="339"/>
    </row>
    <row r="105" spans="1:8" ht="25.5" customHeight="1" x14ac:dyDescent="0.25">
      <c r="A105" s="337"/>
      <c r="B105" s="338"/>
      <c r="C105" s="339"/>
      <c r="D105" s="339"/>
      <c r="E105" s="339"/>
      <c r="F105" s="339"/>
      <c r="G105" s="339"/>
      <c r="H105" s="339"/>
    </row>
    <row r="106" spans="1:8" ht="25.5" customHeight="1" x14ac:dyDescent="0.25">
      <c r="A106" s="337"/>
      <c r="B106" s="338"/>
      <c r="C106" s="339"/>
      <c r="D106" s="339"/>
      <c r="E106" s="339"/>
      <c r="F106" s="339"/>
      <c r="G106" s="339"/>
      <c r="H106" s="339"/>
    </row>
    <row r="107" spans="1:8" ht="25.5" customHeight="1" x14ac:dyDescent="0.25">
      <c r="A107" s="337"/>
      <c r="B107" s="338"/>
      <c r="C107" s="339"/>
      <c r="D107" s="339"/>
      <c r="E107" s="339"/>
      <c r="F107" s="339"/>
      <c r="G107" s="339"/>
      <c r="H107" s="339"/>
    </row>
    <row r="108" spans="1:8" ht="25.5" customHeight="1" x14ac:dyDescent="0.25">
      <c r="A108" s="337"/>
      <c r="B108" s="338"/>
      <c r="C108" s="339"/>
      <c r="D108" s="339"/>
      <c r="E108" s="339"/>
      <c r="F108" s="339"/>
      <c r="G108" s="339"/>
      <c r="H108" s="339"/>
    </row>
    <row r="109" spans="1:8" ht="25.5" customHeight="1" x14ac:dyDescent="0.25">
      <c r="A109" s="337"/>
      <c r="B109" s="338"/>
      <c r="C109" s="339"/>
      <c r="D109" s="339"/>
      <c r="E109" s="339"/>
      <c r="F109" s="339"/>
      <c r="G109" s="339"/>
      <c r="H109" s="339"/>
    </row>
    <row r="110" spans="1:8" ht="25.5" customHeight="1" x14ac:dyDescent="0.25">
      <c r="A110" s="337"/>
      <c r="B110" s="338"/>
      <c r="C110" s="339"/>
      <c r="D110" s="339"/>
      <c r="E110" s="339"/>
      <c r="F110" s="339"/>
      <c r="G110" s="339"/>
      <c r="H110" s="339"/>
    </row>
    <row r="111" spans="1:8" ht="25.5" customHeight="1" x14ac:dyDescent="0.25">
      <c r="A111" s="337"/>
      <c r="B111" s="338"/>
      <c r="C111" s="339"/>
      <c r="D111" s="339"/>
      <c r="E111" s="339"/>
      <c r="F111" s="339"/>
      <c r="G111" s="339"/>
      <c r="H111" s="339"/>
    </row>
    <row r="112" spans="1:8" ht="25.5" customHeight="1" x14ac:dyDescent="0.25">
      <c r="A112" s="337"/>
      <c r="B112" s="338"/>
      <c r="C112" s="339"/>
      <c r="D112" s="339"/>
      <c r="E112" s="339"/>
      <c r="F112" s="339"/>
      <c r="G112" s="339"/>
      <c r="H112" s="339"/>
    </row>
    <row r="113" spans="1:8" ht="25.5" customHeight="1" x14ac:dyDescent="0.25">
      <c r="A113" s="337"/>
      <c r="B113" s="338"/>
      <c r="C113" s="339"/>
      <c r="D113" s="339"/>
      <c r="E113" s="339"/>
      <c r="F113" s="339"/>
      <c r="G113" s="339"/>
      <c r="H113" s="339"/>
    </row>
    <row r="114" spans="1:8" ht="25.5" customHeight="1" x14ac:dyDescent="0.25">
      <c r="A114" s="337"/>
      <c r="B114" s="338"/>
      <c r="C114" s="339"/>
      <c r="D114" s="339"/>
      <c r="E114" s="339"/>
      <c r="F114" s="339"/>
      <c r="G114" s="339"/>
      <c r="H114" s="339"/>
    </row>
    <row r="115" spans="1:8" ht="25.5" customHeight="1" x14ac:dyDescent="0.25">
      <c r="A115" s="337"/>
      <c r="B115" s="338"/>
      <c r="C115" s="339"/>
      <c r="D115" s="339"/>
      <c r="E115" s="339"/>
      <c r="F115" s="339"/>
      <c r="G115" s="339"/>
      <c r="H115" s="339"/>
    </row>
    <row r="116" spans="1:8" ht="25.5" customHeight="1" x14ac:dyDescent="0.25">
      <c r="A116" s="337"/>
      <c r="B116" s="338"/>
      <c r="C116" s="339"/>
      <c r="D116" s="339"/>
      <c r="E116" s="339"/>
      <c r="F116" s="339"/>
      <c r="G116" s="339"/>
      <c r="H116" s="339"/>
    </row>
  </sheetData>
  <autoFilter ref="A4:X73"/>
  <mergeCells count="56">
    <mergeCell ref="A78:B78"/>
    <mergeCell ref="A79:C79"/>
    <mergeCell ref="A72:B72"/>
    <mergeCell ref="A73:B73"/>
    <mergeCell ref="A74:B74"/>
    <mergeCell ref="A75:B75"/>
    <mergeCell ref="A76:B76"/>
    <mergeCell ref="A77:B77"/>
    <mergeCell ref="A68:A69"/>
    <mergeCell ref="B68:B69"/>
    <mergeCell ref="C68:C69"/>
    <mergeCell ref="U68:U69"/>
    <mergeCell ref="A70:A71"/>
    <mergeCell ref="B70:B71"/>
    <mergeCell ref="C70:C71"/>
    <mergeCell ref="U70:U71"/>
    <mergeCell ref="A58:A64"/>
    <mergeCell ref="B58:B64"/>
    <mergeCell ref="C58:C64"/>
    <mergeCell ref="U58:U64"/>
    <mergeCell ref="A65:A66"/>
    <mergeCell ref="B65:B66"/>
    <mergeCell ref="C65:C67"/>
    <mergeCell ref="D65:D66"/>
    <mergeCell ref="U65:U66"/>
    <mergeCell ref="A53:A54"/>
    <mergeCell ref="B53:B54"/>
    <mergeCell ref="C53:C54"/>
    <mergeCell ref="U53:U54"/>
    <mergeCell ref="A55:A57"/>
    <mergeCell ref="B55:B57"/>
    <mergeCell ref="C55:C57"/>
    <mergeCell ref="U55:U56"/>
    <mergeCell ref="A48:A52"/>
    <mergeCell ref="B48:B49"/>
    <mergeCell ref="C48:C49"/>
    <mergeCell ref="U48:U52"/>
    <mergeCell ref="B50:B51"/>
    <mergeCell ref="C50:C52"/>
    <mergeCell ref="A5:U5"/>
    <mergeCell ref="A6:U6"/>
    <mergeCell ref="A7:A47"/>
    <mergeCell ref="B7:B25"/>
    <mergeCell ref="C7:C25"/>
    <mergeCell ref="U7:U47"/>
    <mergeCell ref="B26:B46"/>
    <mergeCell ref="C26:C46"/>
    <mergeCell ref="I1:J1"/>
    <mergeCell ref="S1:U1"/>
    <mergeCell ref="A2:U2"/>
    <mergeCell ref="A3:A4"/>
    <mergeCell ref="B3:B4"/>
    <mergeCell ref="C3:C4"/>
    <mergeCell ref="D3:G3"/>
    <mergeCell ref="I3:T3"/>
    <mergeCell ref="U3:U4"/>
  </mergeCells>
  <pageMargins left="0" right="0" top="0.47244094488188981" bottom="0.74803149606299213" header="0.31496062992125984" footer="0.35433070866141736"/>
  <pageSetup paperSize="9" scale="33" fitToHeight="8" orientation="landscape" r:id="rId1"/>
  <headerFooter differentFirst="1">
    <oddHeader>&amp;C&amp;P</oddHeader>
  </headerFooter>
  <rowBreaks count="1" manualBreakCount="1">
    <brk id="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U36"/>
  <sheetViews>
    <sheetView view="pageBreakPreview" zoomScale="79" zoomScaleNormal="79" zoomScaleSheetLayoutView="79" workbookViewId="0">
      <pane ySplit="5" topLeftCell="A24" activePane="bottomLeft" state="frozen"/>
      <selection activeCell="Q12" sqref="Q12"/>
      <selection pane="bottomLeft" activeCell="E40" sqref="E40"/>
    </sheetView>
  </sheetViews>
  <sheetFormatPr defaultRowHeight="15.75" x14ac:dyDescent="0.25"/>
  <cols>
    <col min="1" max="1" width="6.28515625" style="207" customWidth="1"/>
    <col min="2" max="2" width="79.140625" style="57" customWidth="1"/>
    <col min="3" max="3" width="12" style="57" customWidth="1"/>
    <col min="4" max="4" width="11.42578125" style="57" hidden="1" customWidth="1"/>
    <col min="5" max="7" width="11.42578125" style="57" customWidth="1"/>
    <col min="8" max="10" width="11.42578125" style="58" customWidth="1"/>
    <col min="11" max="11" width="9.140625" style="58"/>
    <col min="12" max="12" width="8.140625" style="57" customWidth="1"/>
    <col min="13" max="13" width="9.140625" style="57" customWidth="1"/>
    <col min="14" max="16384" width="9.140625" style="57"/>
  </cols>
  <sheetData>
    <row r="1" spans="1:17" ht="36.75" customHeight="1" x14ac:dyDescent="0.25">
      <c r="A1" s="133"/>
      <c r="B1" s="134"/>
      <c r="C1" s="135"/>
      <c r="E1" s="136" t="s">
        <v>348</v>
      </c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342"/>
    </row>
    <row r="2" spans="1:17" ht="37.5" customHeight="1" x14ac:dyDescent="0.25">
      <c r="A2" s="244" t="s">
        <v>259</v>
      </c>
      <c r="B2" s="244"/>
      <c r="C2" s="244"/>
      <c r="D2" s="244"/>
      <c r="E2" s="244"/>
      <c r="F2" s="244"/>
      <c r="G2" s="244"/>
      <c r="H2" s="244"/>
      <c r="I2" s="244"/>
      <c r="J2" s="244"/>
    </row>
    <row r="3" spans="1:17" ht="25.5" customHeight="1" x14ac:dyDescent="0.25">
      <c r="A3" s="139" t="s">
        <v>97</v>
      </c>
      <c r="B3" s="140" t="s">
        <v>260</v>
      </c>
      <c r="C3" s="140" t="s">
        <v>99</v>
      </c>
      <c r="D3" s="53" t="s">
        <v>102</v>
      </c>
      <c r="E3" s="53" t="s">
        <v>42</v>
      </c>
      <c r="F3" s="53" t="s">
        <v>43</v>
      </c>
      <c r="G3" s="53" t="s">
        <v>44</v>
      </c>
      <c r="H3" s="69" t="s">
        <v>45</v>
      </c>
      <c r="I3" s="69" t="s">
        <v>46</v>
      </c>
      <c r="J3" s="69" t="s">
        <v>47</v>
      </c>
      <c r="K3" s="69" t="s">
        <v>48</v>
      </c>
      <c r="L3" s="69" t="s">
        <v>49</v>
      </c>
      <c r="M3" s="69" t="s">
        <v>50</v>
      </c>
      <c r="N3" s="69" t="s">
        <v>51</v>
      </c>
      <c r="O3" s="69" t="s">
        <v>52</v>
      </c>
      <c r="P3" s="69" t="s">
        <v>53</v>
      </c>
    </row>
    <row r="4" spans="1:17" ht="12.75" customHeight="1" x14ac:dyDescent="0.25">
      <c r="A4" s="139"/>
      <c r="B4" s="140"/>
      <c r="C4" s="140"/>
      <c r="D4" s="53"/>
      <c r="E4" s="53"/>
      <c r="F4" s="53"/>
      <c r="G4" s="53"/>
      <c r="H4" s="69"/>
      <c r="I4" s="69"/>
      <c r="J4" s="69"/>
      <c r="K4" s="69"/>
      <c r="L4" s="69"/>
      <c r="M4" s="69"/>
      <c r="N4" s="69"/>
      <c r="O4" s="69"/>
      <c r="P4" s="69"/>
    </row>
    <row r="5" spans="1:17" ht="25.5" customHeight="1" x14ac:dyDescent="0.25">
      <c r="A5" s="139"/>
      <c r="B5" s="140"/>
      <c r="C5" s="140"/>
      <c r="D5" s="53"/>
      <c r="E5" s="53"/>
      <c r="F5" s="53"/>
      <c r="G5" s="53"/>
      <c r="H5" s="69"/>
      <c r="I5" s="69"/>
      <c r="J5" s="69"/>
      <c r="K5" s="69"/>
      <c r="L5" s="69"/>
      <c r="M5" s="69"/>
      <c r="N5" s="69"/>
      <c r="O5" s="69"/>
      <c r="P5" s="69"/>
    </row>
    <row r="6" spans="1:17" ht="35.1" customHeight="1" x14ac:dyDescent="0.25">
      <c r="A6" s="256" t="s">
        <v>349</v>
      </c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</row>
    <row r="7" spans="1:17" ht="35.1" customHeight="1" x14ac:dyDescent="0.25">
      <c r="A7" s="343" t="s">
        <v>350</v>
      </c>
      <c r="B7" s="344"/>
      <c r="C7" s="344"/>
      <c r="D7" s="344"/>
      <c r="E7" s="344"/>
      <c r="F7" s="344"/>
      <c r="G7" s="344"/>
      <c r="H7" s="344"/>
      <c r="I7" s="344"/>
      <c r="J7" s="344"/>
      <c r="K7" s="344"/>
      <c r="L7" s="344"/>
      <c r="M7" s="344"/>
      <c r="N7" s="344"/>
      <c r="O7" s="344"/>
      <c r="P7" s="344"/>
    </row>
    <row r="8" spans="1:17" ht="35.1" customHeight="1" x14ac:dyDescent="0.25">
      <c r="A8" s="36" t="s">
        <v>263</v>
      </c>
      <c r="B8" s="345" t="s">
        <v>351</v>
      </c>
      <c r="C8" s="35" t="s">
        <v>105</v>
      </c>
      <c r="D8" s="346">
        <v>546.29999999999995</v>
      </c>
      <c r="E8" s="162">
        <v>57.12</v>
      </c>
      <c r="F8" s="162">
        <v>71.400000000000006</v>
      </c>
      <c r="G8" s="162">
        <v>85.7</v>
      </c>
      <c r="H8" s="170">
        <v>85.7</v>
      </c>
      <c r="I8" s="153">
        <v>85.7</v>
      </c>
      <c r="J8" s="153">
        <v>85.7</v>
      </c>
      <c r="K8" s="153">
        <v>85.7</v>
      </c>
      <c r="L8" s="153">
        <v>85.7</v>
      </c>
      <c r="M8" s="153">
        <v>85.7</v>
      </c>
      <c r="N8" s="152">
        <f>M8</f>
        <v>85.7</v>
      </c>
      <c r="O8" s="152">
        <f>N8</f>
        <v>85.7</v>
      </c>
      <c r="P8" s="152">
        <f>O8</f>
        <v>85.7</v>
      </c>
    </row>
    <row r="9" spans="1:17" s="58" customFormat="1" ht="35.1" customHeight="1" x14ac:dyDescent="0.25">
      <c r="A9" s="260" t="s">
        <v>264</v>
      </c>
      <c r="B9" s="347" t="s">
        <v>137</v>
      </c>
      <c r="C9" s="37" t="s">
        <v>105</v>
      </c>
      <c r="D9" s="109">
        <v>80</v>
      </c>
      <c r="E9" s="170">
        <v>75</v>
      </c>
      <c r="F9" s="170">
        <v>75</v>
      </c>
      <c r="G9" s="170">
        <v>75</v>
      </c>
      <c r="H9" s="170">
        <v>85</v>
      </c>
      <c r="I9" s="170">
        <v>85</v>
      </c>
      <c r="J9" s="170">
        <v>85</v>
      </c>
      <c r="K9" s="170">
        <v>85</v>
      </c>
      <c r="L9" s="170">
        <v>85</v>
      </c>
      <c r="M9" s="170">
        <v>85</v>
      </c>
      <c r="N9" s="152">
        <f t="shared" ref="N9:P28" si="0">M9</f>
        <v>85</v>
      </c>
      <c r="O9" s="152">
        <f t="shared" si="0"/>
        <v>85</v>
      </c>
      <c r="P9" s="152">
        <f t="shared" si="0"/>
        <v>85</v>
      </c>
      <c r="Q9" s="348"/>
    </row>
    <row r="10" spans="1:17" ht="35.1" customHeight="1" x14ac:dyDescent="0.25">
      <c r="A10" s="36" t="s">
        <v>265</v>
      </c>
      <c r="B10" s="349" t="s">
        <v>139</v>
      </c>
      <c r="C10" s="35" t="s">
        <v>140</v>
      </c>
      <c r="D10" s="35" t="s">
        <v>135</v>
      </c>
      <c r="E10" s="162">
        <v>9</v>
      </c>
      <c r="F10" s="163">
        <v>8</v>
      </c>
      <c r="G10" s="163">
        <v>8</v>
      </c>
      <c r="H10" s="170">
        <v>8</v>
      </c>
      <c r="I10" s="153">
        <v>8</v>
      </c>
      <c r="J10" s="153">
        <v>8</v>
      </c>
      <c r="K10" s="153">
        <v>8</v>
      </c>
      <c r="L10" s="153">
        <v>8</v>
      </c>
      <c r="M10" s="153">
        <v>8</v>
      </c>
      <c r="N10" s="152">
        <f t="shared" si="0"/>
        <v>8</v>
      </c>
      <c r="O10" s="152">
        <f t="shared" si="0"/>
        <v>8</v>
      </c>
      <c r="P10" s="152">
        <f t="shared" si="0"/>
        <v>8</v>
      </c>
    </row>
    <row r="11" spans="1:17" ht="35.1" customHeight="1" x14ac:dyDescent="0.25">
      <c r="A11" s="36" t="s">
        <v>267</v>
      </c>
      <c r="B11" s="349" t="s">
        <v>142</v>
      </c>
      <c r="C11" s="35" t="s">
        <v>105</v>
      </c>
      <c r="D11" s="35"/>
      <c r="E11" s="162">
        <v>100</v>
      </c>
      <c r="F11" s="163">
        <v>100</v>
      </c>
      <c r="G11" s="163">
        <v>100</v>
      </c>
      <c r="H11" s="170">
        <v>100</v>
      </c>
      <c r="I11" s="153">
        <v>100</v>
      </c>
      <c r="J11" s="153">
        <v>100</v>
      </c>
      <c r="K11" s="153">
        <v>100</v>
      </c>
      <c r="L11" s="153">
        <v>100</v>
      </c>
      <c r="M11" s="153">
        <v>100</v>
      </c>
      <c r="N11" s="152">
        <f t="shared" si="0"/>
        <v>100</v>
      </c>
      <c r="O11" s="152">
        <f t="shared" si="0"/>
        <v>100</v>
      </c>
      <c r="P11" s="152">
        <f t="shared" si="0"/>
        <v>100</v>
      </c>
    </row>
    <row r="12" spans="1:17" ht="35.1" customHeight="1" x14ac:dyDescent="0.25">
      <c r="A12" s="36" t="s">
        <v>352</v>
      </c>
      <c r="B12" s="349" t="s">
        <v>144</v>
      </c>
      <c r="C12" s="35" t="s">
        <v>140</v>
      </c>
      <c r="D12" s="35" t="s">
        <v>135</v>
      </c>
      <c r="E12" s="162">
        <v>6</v>
      </c>
      <c r="F12" s="163">
        <v>7</v>
      </c>
      <c r="G12" s="163">
        <v>7</v>
      </c>
      <c r="H12" s="170">
        <v>7</v>
      </c>
      <c r="I12" s="170">
        <v>7</v>
      </c>
      <c r="J12" s="170">
        <v>7</v>
      </c>
      <c r="K12" s="170">
        <v>7</v>
      </c>
      <c r="L12" s="170">
        <v>7</v>
      </c>
      <c r="M12" s="170">
        <v>7</v>
      </c>
      <c r="N12" s="152">
        <f t="shared" si="0"/>
        <v>7</v>
      </c>
      <c r="O12" s="152">
        <f t="shared" si="0"/>
        <v>7</v>
      </c>
      <c r="P12" s="152">
        <f t="shared" si="0"/>
        <v>7</v>
      </c>
    </row>
    <row r="13" spans="1:17" ht="35.1" customHeight="1" x14ac:dyDescent="0.25">
      <c r="A13" s="350" t="s">
        <v>353</v>
      </c>
      <c r="B13" s="351"/>
      <c r="C13" s="351"/>
      <c r="D13" s="351"/>
      <c r="E13" s="351"/>
      <c r="F13" s="351"/>
      <c r="G13" s="351"/>
      <c r="H13" s="351"/>
      <c r="I13" s="351"/>
      <c r="J13" s="351"/>
      <c r="K13" s="351"/>
      <c r="L13" s="351"/>
      <c r="M13" s="351"/>
      <c r="N13" s="351"/>
      <c r="O13" s="166"/>
      <c r="P13" s="166"/>
    </row>
    <row r="14" spans="1:17" ht="31.5" x14ac:dyDescent="0.25">
      <c r="A14" s="36" t="s">
        <v>354</v>
      </c>
      <c r="B14" s="349" t="s">
        <v>147</v>
      </c>
      <c r="C14" s="144" t="s">
        <v>105</v>
      </c>
      <c r="D14" s="144">
        <v>1.96</v>
      </c>
      <c r="E14" s="162">
        <v>87.5</v>
      </c>
      <c r="F14" s="163">
        <v>100</v>
      </c>
      <c r="G14" s="163">
        <v>100</v>
      </c>
      <c r="H14" s="170">
        <v>100</v>
      </c>
      <c r="I14" s="167">
        <v>100</v>
      </c>
      <c r="J14" s="167">
        <v>100</v>
      </c>
      <c r="K14" s="167">
        <v>100</v>
      </c>
      <c r="L14" s="167">
        <v>100</v>
      </c>
      <c r="M14" s="352">
        <v>100</v>
      </c>
      <c r="N14" s="149">
        <f t="shared" si="0"/>
        <v>100</v>
      </c>
      <c r="O14" s="152">
        <f>N14</f>
        <v>100</v>
      </c>
      <c r="P14" s="152">
        <f>O14</f>
        <v>100</v>
      </c>
    </row>
    <row r="15" spans="1:17" ht="31.5" x14ac:dyDescent="0.25">
      <c r="A15" s="36" t="s">
        <v>355</v>
      </c>
      <c r="B15" s="349" t="s">
        <v>149</v>
      </c>
      <c r="C15" s="35" t="s">
        <v>105</v>
      </c>
      <c r="D15" s="152">
        <v>2.34</v>
      </c>
      <c r="E15" s="162">
        <v>85</v>
      </c>
      <c r="F15" s="163">
        <v>89</v>
      </c>
      <c r="G15" s="163">
        <v>90</v>
      </c>
      <c r="H15" s="170">
        <v>90</v>
      </c>
      <c r="I15" s="167">
        <v>95</v>
      </c>
      <c r="J15" s="167">
        <v>95</v>
      </c>
      <c r="K15" s="167">
        <v>95</v>
      </c>
      <c r="L15" s="167">
        <v>95</v>
      </c>
      <c r="M15" s="352">
        <v>95</v>
      </c>
      <c r="N15" s="149">
        <f t="shared" si="0"/>
        <v>95</v>
      </c>
      <c r="O15" s="152">
        <f t="shared" si="0"/>
        <v>95</v>
      </c>
      <c r="P15" s="152">
        <f t="shared" si="0"/>
        <v>95</v>
      </c>
    </row>
    <row r="16" spans="1:17" ht="63" x14ac:dyDescent="0.25">
      <c r="A16" s="36" t="s">
        <v>356</v>
      </c>
      <c r="B16" s="349" t="s">
        <v>151</v>
      </c>
      <c r="C16" s="35" t="s">
        <v>105</v>
      </c>
      <c r="D16" s="152"/>
      <c r="E16" s="162">
        <v>10.199999999999999</v>
      </c>
      <c r="F16" s="163">
        <v>10.1</v>
      </c>
      <c r="G16" s="163">
        <v>10.1</v>
      </c>
      <c r="H16" s="170">
        <v>9.1</v>
      </c>
      <c r="I16" s="167">
        <v>9.5</v>
      </c>
      <c r="J16" s="167">
        <v>10.1</v>
      </c>
      <c r="K16" s="167">
        <v>10.1</v>
      </c>
      <c r="L16" s="167">
        <v>10.1</v>
      </c>
      <c r="M16" s="352">
        <v>10.1</v>
      </c>
      <c r="N16" s="149">
        <f t="shared" si="0"/>
        <v>10.1</v>
      </c>
      <c r="O16" s="152">
        <f t="shared" si="0"/>
        <v>10.1</v>
      </c>
      <c r="P16" s="152">
        <f t="shared" si="0"/>
        <v>10.1</v>
      </c>
    </row>
    <row r="17" spans="1:21" ht="63" x14ac:dyDescent="0.25">
      <c r="A17" s="36" t="s">
        <v>357</v>
      </c>
      <c r="B17" s="349" t="s">
        <v>153</v>
      </c>
      <c r="C17" s="35" t="s">
        <v>105</v>
      </c>
      <c r="D17" s="152"/>
      <c r="E17" s="162">
        <v>1.1299999999999999</v>
      </c>
      <c r="F17" s="163">
        <v>1.57</v>
      </c>
      <c r="G17" s="163">
        <v>1.72</v>
      </c>
      <c r="H17" s="170">
        <v>1.86</v>
      </c>
      <c r="I17" s="170">
        <v>1.87</v>
      </c>
      <c r="J17" s="170">
        <v>1.9</v>
      </c>
      <c r="K17" s="170">
        <v>1.9</v>
      </c>
      <c r="L17" s="170">
        <v>1.9</v>
      </c>
      <c r="M17" s="353">
        <v>1.9</v>
      </c>
      <c r="N17" s="149">
        <f t="shared" si="0"/>
        <v>1.9</v>
      </c>
      <c r="O17" s="152">
        <f t="shared" si="0"/>
        <v>1.9</v>
      </c>
      <c r="P17" s="152">
        <f t="shared" si="0"/>
        <v>1.9</v>
      </c>
    </row>
    <row r="18" spans="1:21" ht="47.25" x14ac:dyDescent="0.25">
      <c r="A18" s="36" t="s">
        <v>358</v>
      </c>
      <c r="B18" s="349" t="s">
        <v>155</v>
      </c>
      <c r="C18" s="35" t="s">
        <v>105</v>
      </c>
      <c r="D18" s="152"/>
      <c r="E18" s="162">
        <v>39</v>
      </c>
      <c r="F18" s="162">
        <v>41</v>
      </c>
      <c r="G18" s="162">
        <v>41</v>
      </c>
      <c r="H18" s="170">
        <v>42.5</v>
      </c>
      <c r="I18" s="167">
        <v>48.8</v>
      </c>
      <c r="J18" s="167">
        <v>50.2</v>
      </c>
      <c r="K18" s="167">
        <v>50.2</v>
      </c>
      <c r="L18" s="167">
        <v>50.2</v>
      </c>
      <c r="M18" s="352">
        <v>50.2</v>
      </c>
      <c r="N18" s="149">
        <f t="shared" si="0"/>
        <v>50.2</v>
      </c>
      <c r="O18" s="152">
        <f t="shared" si="0"/>
        <v>50.2</v>
      </c>
      <c r="P18" s="152">
        <f t="shared" si="0"/>
        <v>50.2</v>
      </c>
    </row>
    <row r="19" spans="1:21" ht="63" x14ac:dyDescent="0.25">
      <c r="A19" s="36" t="s">
        <v>359</v>
      </c>
      <c r="B19" s="345" t="s">
        <v>157</v>
      </c>
      <c r="C19" s="12" t="s">
        <v>105</v>
      </c>
      <c r="D19" s="152"/>
      <c r="E19" s="162">
        <v>1.96</v>
      </c>
      <c r="F19" s="162">
        <v>0</v>
      </c>
      <c r="G19" s="162">
        <v>0</v>
      </c>
      <c r="H19" s="170">
        <v>0</v>
      </c>
      <c r="I19" s="167">
        <v>0</v>
      </c>
      <c r="J19" s="167">
        <v>0</v>
      </c>
      <c r="K19" s="167">
        <v>0</v>
      </c>
      <c r="L19" s="167">
        <v>0</v>
      </c>
      <c r="M19" s="352">
        <v>0</v>
      </c>
      <c r="N19" s="149">
        <f t="shared" si="0"/>
        <v>0</v>
      </c>
      <c r="O19" s="152">
        <f t="shared" si="0"/>
        <v>0</v>
      </c>
      <c r="P19" s="152">
        <f t="shared" si="0"/>
        <v>0</v>
      </c>
    </row>
    <row r="20" spans="1:21" ht="47.25" x14ac:dyDescent="0.25">
      <c r="A20" s="36" t="s">
        <v>360</v>
      </c>
      <c r="B20" s="345" t="s">
        <v>159</v>
      </c>
      <c r="C20" s="12" t="s">
        <v>105</v>
      </c>
      <c r="D20" s="152"/>
      <c r="E20" s="162">
        <v>93.4</v>
      </c>
      <c r="F20" s="170">
        <v>93.5</v>
      </c>
      <c r="G20" s="170">
        <v>93.5</v>
      </c>
      <c r="H20" s="170">
        <v>93.5</v>
      </c>
      <c r="I20" s="167">
        <v>95</v>
      </c>
      <c r="J20" s="167">
        <v>95</v>
      </c>
      <c r="K20" s="167">
        <v>95</v>
      </c>
      <c r="L20" s="167">
        <v>95</v>
      </c>
      <c r="M20" s="352">
        <v>95</v>
      </c>
      <c r="N20" s="149">
        <f t="shared" si="0"/>
        <v>95</v>
      </c>
      <c r="O20" s="152">
        <f t="shared" si="0"/>
        <v>95</v>
      </c>
      <c r="P20" s="152">
        <f t="shared" si="0"/>
        <v>95</v>
      </c>
    </row>
    <row r="21" spans="1:21" ht="47.25" x14ac:dyDescent="0.25">
      <c r="A21" s="36" t="s">
        <v>361</v>
      </c>
      <c r="B21" s="345" t="s">
        <v>161</v>
      </c>
      <c r="C21" s="12" t="s">
        <v>105</v>
      </c>
      <c r="D21" s="152"/>
      <c r="E21" s="162">
        <v>92</v>
      </c>
      <c r="F21" s="170">
        <v>92</v>
      </c>
      <c r="G21" s="167">
        <v>92</v>
      </c>
      <c r="H21" s="167">
        <v>92</v>
      </c>
      <c r="I21" s="167">
        <v>92</v>
      </c>
      <c r="J21" s="167">
        <v>92</v>
      </c>
      <c r="K21" s="167">
        <v>92</v>
      </c>
      <c r="L21" s="167">
        <v>92</v>
      </c>
      <c r="M21" s="352">
        <v>92</v>
      </c>
      <c r="N21" s="149">
        <f t="shared" si="0"/>
        <v>92</v>
      </c>
      <c r="O21" s="152">
        <f t="shared" si="0"/>
        <v>92</v>
      </c>
      <c r="P21" s="152">
        <f t="shared" si="0"/>
        <v>92</v>
      </c>
    </row>
    <row r="22" spans="1:21" ht="31.5" x14ac:dyDescent="0.25">
      <c r="A22" s="36" t="s">
        <v>362</v>
      </c>
      <c r="B22" s="349" t="s">
        <v>163</v>
      </c>
      <c r="C22" s="11" t="s">
        <v>105</v>
      </c>
      <c r="D22" s="152"/>
      <c r="E22" s="162">
        <v>96</v>
      </c>
      <c r="F22" s="163">
        <v>96.5</v>
      </c>
      <c r="G22" s="164">
        <v>97</v>
      </c>
      <c r="H22" s="167">
        <v>97</v>
      </c>
      <c r="I22" s="167">
        <v>98</v>
      </c>
      <c r="J22" s="167">
        <v>98</v>
      </c>
      <c r="K22" s="167">
        <v>98</v>
      </c>
      <c r="L22" s="167">
        <v>98</v>
      </c>
      <c r="M22" s="352">
        <v>98</v>
      </c>
      <c r="N22" s="149">
        <f t="shared" si="0"/>
        <v>98</v>
      </c>
      <c r="O22" s="152">
        <f t="shared" si="0"/>
        <v>98</v>
      </c>
      <c r="P22" s="152">
        <f t="shared" si="0"/>
        <v>98</v>
      </c>
    </row>
    <row r="23" spans="1:21" ht="94.5" x14ac:dyDescent="0.25">
      <c r="A23" s="36" t="s">
        <v>363</v>
      </c>
      <c r="B23" s="345" t="s">
        <v>165</v>
      </c>
      <c r="C23" s="11" t="s">
        <v>105</v>
      </c>
      <c r="D23" s="152"/>
      <c r="E23" s="162">
        <v>2.5</v>
      </c>
      <c r="F23" s="163">
        <v>3</v>
      </c>
      <c r="G23" s="164">
        <v>3.4</v>
      </c>
      <c r="H23" s="167">
        <v>2.4</v>
      </c>
      <c r="I23" s="167">
        <v>2.8</v>
      </c>
      <c r="J23" s="167">
        <v>2.8</v>
      </c>
      <c r="K23" s="167">
        <v>2.8</v>
      </c>
      <c r="L23" s="167">
        <v>2.8</v>
      </c>
      <c r="M23" s="352">
        <v>2.8</v>
      </c>
      <c r="N23" s="149">
        <f t="shared" si="0"/>
        <v>2.8</v>
      </c>
      <c r="O23" s="152">
        <f t="shared" si="0"/>
        <v>2.8</v>
      </c>
      <c r="P23" s="152">
        <f t="shared" si="0"/>
        <v>2.8</v>
      </c>
    </row>
    <row r="24" spans="1:21" ht="39" customHeight="1" x14ac:dyDescent="0.25">
      <c r="A24" s="96" t="s">
        <v>364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</row>
    <row r="25" spans="1:21" ht="31.5" x14ac:dyDescent="0.25">
      <c r="A25" s="171" t="s">
        <v>365</v>
      </c>
      <c r="B25" s="349" t="s">
        <v>168</v>
      </c>
      <c r="C25" s="35" t="s">
        <v>105</v>
      </c>
      <c r="D25" s="144"/>
      <c r="E25" s="162">
        <v>75</v>
      </c>
      <c r="F25" s="163">
        <v>75</v>
      </c>
      <c r="G25" s="172">
        <v>75</v>
      </c>
      <c r="H25" s="147">
        <v>93</v>
      </c>
      <c r="I25" s="147">
        <v>93.2</v>
      </c>
      <c r="J25" s="147">
        <v>75</v>
      </c>
      <c r="K25" s="147">
        <v>75</v>
      </c>
      <c r="L25" s="147">
        <v>75</v>
      </c>
      <c r="M25" s="354">
        <v>72</v>
      </c>
      <c r="N25" s="149">
        <v>74</v>
      </c>
      <c r="O25" s="162">
        <v>74</v>
      </c>
      <c r="P25" s="162">
        <f>O25</f>
        <v>74</v>
      </c>
      <c r="Q25" s="355"/>
      <c r="R25" s="355"/>
      <c r="S25" s="355"/>
      <c r="T25" s="355"/>
      <c r="U25" s="355"/>
    </row>
    <row r="26" spans="1:21" ht="31.5" x14ac:dyDescent="0.25">
      <c r="A26" s="171" t="s">
        <v>366</v>
      </c>
      <c r="B26" s="347" t="s">
        <v>367</v>
      </c>
      <c r="C26" s="35" t="s">
        <v>105</v>
      </c>
      <c r="D26" s="144"/>
      <c r="E26" s="162">
        <v>67</v>
      </c>
      <c r="F26" s="163">
        <v>70</v>
      </c>
      <c r="G26" s="172">
        <v>72</v>
      </c>
      <c r="H26" s="147">
        <v>95</v>
      </c>
      <c r="I26" s="147">
        <v>95</v>
      </c>
      <c r="J26" s="147">
        <v>96</v>
      </c>
      <c r="K26" s="147">
        <v>97</v>
      </c>
      <c r="L26" s="147">
        <v>97</v>
      </c>
      <c r="M26" s="354">
        <v>97</v>
      </c>
      <c r="N26" s="149">
        <f t="shared" si="0"/>
        <v>97</v>
      </c>
      <c r="O26" s="162">
        <f>N26</f>
        <v>97</v>
      </c>
      <c r="P26" s="162">
        <f>O26</f>
        <v>97</v>
      </c>
      <c r="Q26" s="355"/>
      <c r="R26" s="355"/>
      <c r="S26" s="355"/>
      <c r="T26" s="355"/>
      <c r="U26" s="355"/>
    </row>
    <row r="27" spans="1:21" ht="47.25" x14ac:dyDescent="0.25">
      <c r="A27" s="171" t="s">
        <v>368</v>
      </c>
      <c r="B27" s="345" t="s">
        <v>369</v>
      </c>
      <c r="C27" s="35" t="s">
        <v>105</v>
      </c>
      <c r="D27" s="144">
        <v>78.400000000000006</v>
      </c>
      <c r="E27" s="172">
        <v>81</v>
      </c>
      <c r="F27" s="172">
        <v>83</v>
      </c>
      <c r="G27" s="172">
        <v>85</v>
      </c>
      <c r="H27" s="147">
        <v>85</v>
      </c>
      <c r="I27" s="147">
        <v>85</v>
      </c>
      <c r="J27" s="147">
        <v>85</v>
      </c>
      <c r="K27" s="147">
        <v>85</v>
      </c>
      <c r="L27" s="147">
        <v>85</v>
      </c>
      <c r="M27" s="354">
        <v>85</v>
      </c>
      <c r="N27" s="149">
        <f t="shared" si="0"/>
        <v>85</v>
      </c>
      <c r="O27" s="162">
        <f>N27</f>
        <v>85</v>
      </c>
      <c r="P27" s="162">
        <f>O27</f>
        <v>85</v>
      </c>
    </row>
    <row r="28" spans="1:21" ht="31.5" x14ac:dyDescent="0.25">
      <c r="A28" s="171" t="s">
        <v>370</v>
      </c>
      <c r="B28" s="345" t="s">
        <v>172</v>
      </c>
      <c r="C28" s="35" t="s">
        <v>105</v>
      </c>
      <c r="D28" s="144"/>
      <c r="E28" s="162">
        <v>15</v>
      </c>
      <c r="F28" s="163">
        <v>15</v>
      </c>
      <c r="G28" s="172">
        <v>16.5</v>
      </c>
      <c r="H28" s="147">
        <v>18.3</v>
      </c>
      <c r="I28" s="147">
        <v>19.100000000000001</v>
      </c>
      <c r="J28" s="147">
        <v>19.5</v>
      </c>
      <c r="K28" s="147">
        <v>19.5</v>
      </c>
      <c r="L28" s="147">
        <v>19.5</v>
      </c>
      <c r="M28" s="354">
        <v>19.5</v>
      </c>
      <c r="N28" s="149">
        <f t="shared" si="0"/>
        <v>19.5</v>
      </c>
      <c r="O28" s="162">
        <f>N28</f>
        <v>19.5</v>
      </c>
      <c r="P28" s="162">
        <f>O28</f>
        <v>19.5</v>
      </c>
    </row>
    <row r="29" spans="1:21" ht="47.25" x14ac:dyDescent="0.25">
      <c r="A29" s="171" t="s">
        <v>371</v>
      </c>
      <c r="B29" s="345" t="s">
        <v>372</v>
      </c>
      <c r="C29" s="35" t="s">
        <v>105</v>
      </c>
      <c r="D29" s="144"/>
      <c r="E29" s="162"/>
      <c r="F29" s="162"/>
      <c r="G29" s="172"/>
      <c r="H29" s="172"/>
      <c r="I29" s="172"/>
      <c r="J29" s="172"/>
      <c r="K29" s="172">
        <v>25</v>
      </c>
      <c r="L29" s="172">
        <v>14.92</v>
      </c>
      <c r="M29" s="356">
        <v>16.440000000000001</v>
      </c>
      <c r="N29" s="149">
        <v>17.41</v>
      </c>
      <c r="O29" s="162">
        <v>18.38</v>
      </c>
      <c r="P29" s="162">
        <v>20.399999999999999</v>
      </c>
    </row>
    <row r="30" spans="1:21" ht="34.5" customHeight="1" x14ac:dyDescent="0.25">
      <c r="A30" s="96" t="s">
        <v>373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8"/>
    </row>
    <row r="31" spans="1:21" ht="31.5" x14ac:dyDescent="0.25">
      <c r="A31" s="171" t="s">
        <v>374</v>
      </c>
      <c r="B31" s="345" t="s">
        <v>375</v>
      </c>
      <c r="C31" s="35" t="s">
        <v>105</v>
      </c>
      <c r="D31" s="144"/>
      <c r="E31" s="162"/>
      <c r="F31" s="162"/>
      <c r="G31" s="172"/>
      <c r="H31" s="172"/>
      <c r="I31" s="172"/>
      <c r="J31" s="172"/>
      <c r="K31" s="172"/>
      <c r="L31" s="172">
        <v>100</v>
      </c>
      <c r="M31" s="172">
        <v>100</v>
      </c>
      <c r="N31" s="149">
        <v>100</v>
      </c>
      <c r="O31" s="162">
        <v>100</v>
      </c>
      <c r="P31" s="162">
        <v>100</v>
      </c>
    </row>
    <row r="32" spans="1:21" ht="47.25" x14ac:dyDescent="0.25">
      <c r="A32" s="171" t="s">
        <v>376</v>
      </c>
      <c r="B32" s="345" t="s">
        <v>377</v>
      </c>
      <c r="C32" s="35" t="s">
        <v>198</v>
      </c>
      <c r="D32" s="144"/>
      <c r="E32" s="162"/>
      <c r="F32" s="162"/>
      <c r="G32" s="172"/>
      <c r="H32" s="172"/>
      <c r="I32" s="172"/>
      <c r="J32" s="172"/>
      <c r="K32" s="172"/>
      <c r="L32" s="172">
        <v>568</v>
      </c>
      <c r="M32" s="172">
        <v>419</v>
      </c>
      <c r="N32" s="149">
        <v>299</v>
      </c>
      <c r="O32" s="162">
        <v>371</v>
      </c>
      <c r="P32" s="162">
        <v>371</v>
      </c>
    </row>
    <row r="33" spans="1:16" ht="63" x14ac:dyDescent="0.25">
      <c r="A33" s="171" t="s">
        <v>378</v>
      </c>
      <c r="B33" s="345" t="s">
        <v>379</v>
      </c>
      <c r="C33" s="35" t="s">
        <v>198</v>
      </c>
      <c r="D33" s="144"/>
      <c r="E33" s="162"/>
      <c r="F33" s="162"/>
      <c r="G33" s="172"/>
      <c r="H33" s="172"/>
      <c r="I33" s="172"/>
      <c r="J33" s="172"/>
      <c r="K33" s="172"/>
      <c r="L33" s="172">
        <v>65</v>
      </c>
      <c r="M33" s="172">
        <v>6</v>
      </c>
      <c r="N33" s="149">
        <v>6</v>
      </c>
      <c r="O33" s="162">
        <v>6</v>
      </c>
      <c r="P33" s="162">
        <v>6</v>
      </c>
    </row>
    <row r="34" spans="1:16" x14ac:dyDescent="0.25">
      <c r="A34" s="268"/>
      <c r="B34" s="269"/>
      <c r="C34" s="141"/>
      <c r="D34" s="270"/>
      <c r="E34" s="270"/>
      <c r="F34" s="270"/>
      <c r="G34" s="270"/>
      <c r="H34" s="271"/>
      <c r="I34" s="271"/>
      <c r="J34" s="271"/>
    </row>
    <row r="35" spans="1:16" x14ac:dyDescent="0.25">
      <c r="A35" s="268"/>
      <c r="B35" s="269"/>
      <c r="C35" s="141"/>
      <c r="D35" s="270"/>
      <c r="E35" s="270"/>
      <c r="F35" s="270"/>
      <c r="G35" s="270"/>
      <c r="H35" s="271"/>
      <c r="I35" s="271"/>
      <c r="J35" s="271"/>
    </row>
    <row r="36" spans="1:16" ht="18.75" x14ac:dyDescent="0.3">
      <c r="A36" s="357" t="s">
        <v>33</v>
      </c>
      <c r="B36" s="357"/>
      <c r="C36" s="357"/>
      <c r="D36" s="358"/>
      <c r="E36" s="358"/>
      <c r="F36" s="358"/>
      <c r="G36" s="359"/>
      <c r="H36" s="360"/>
      <c r="I36" s="360"/>
      <c r="J36" s="361"/>
      <c r="L36" s="358" t="s">
        <v>243</v>
      </c>
    </row>
  </sheetData>
  <mergeCells count="23">
    <mergeCell ref="A30:P30"/>
    <mergeCell ref="O3:O5"/>
    <mergeCell ref="P3:P5"/>
    <mergeCell ref="A6:P6"/>
    <mergeCell ref="A7:P7"/>
    <mergeCell ref="A13:N13"/>
    <mergeCell ref="A24:P24"/>
    <mergeCell ref="I3:I5"/>
    <mergeCell ref="J3:J5"/>
    <mergeCell ref="K3:K5"/>
    <mergeCell ref="L3:L5"/>
    <mergeCell ref="M3:M5"/>
    <mergeCell ref="N3:N5"/>
    <mergeCell ref="E1:O1"/>
    <mergeCell ref="A2:J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31496062992125984" top="0.55118110236220474" bottom="0.35433070866141736" header="0.31496062992125984" footer="0.31496062992125984"/>
  <pageSetup paperSize="9" scale="65" fitToHeight="4" orientation="landscape" r:id="rId1"/>
  <headerFooter differentFirst="1">
    <oddHeader>&amp;C&amp;P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208"/>
  <sheetViews>
    <sheetView view="pageBreakPreview" topLeftCell="C145" zoomScale="98" zoomScaleNormal="98" zoomScaleSheetLayoutView="98" workbookViewId="0">
      <selection activeCell="I164" sqref="I164"/>
    </sheetView>
  </sheetViews>
  <sheetFormatPr defaultColWidth="9.28515625" defaultRowHeight="18.75" x14ac:dyDescent="0.3"/>
  <cols>
    <col min="1" max="1" width="6.5703125" style="462" customWidth="1"/>
    <col min="2" max="2" width="54.5703125" style="467" customWidth="1"/>
    <col min="3" max="3" width="21.7109375" style="465" customWidth="1"/>
    <col min="4" max="4" width="9.42578125" style="465" bestFit="1" customWidth="1"/>
    <col min="5" max="5" width="9.28515625" style="465"/>
    <col min="6" max="6" width="14.85546875" style="465" customWidth="1"/>
    <col min="7" max="7" width="12.42578125" style="465" customWidth="1"/>
    <col min="8" max="8" width="12.7109375" style="465" customWidth="1"/>
    <col min="9" max="12" width="12.7109375" style="58" customWidth="1"/>
    <col min="13" max="13" width="15.28515625" style="58" customWidth="1"/>
    <col min="14" max="14" width="12.7109375" style="58" customWidth="1"/>
    <col min="15" max="15" width="14.7109375" style="58" customWidth="1"/>
    <col min="16" max="19" width="16.28515625" style="58" customWidth="1"/>
    <col min="20" max="20" width="17.140625" style="466" customWidth="1"/>
    <col min="21" max="21" width="55.5703125" style="57" customWidth="1"/>
    <col min="22" max="22" width="12" style="57" customWidth="1"/>
    <col min="23" max="23" width="15.42578125" style="57" customWidth="1"/>
    <col min="24" max="24" width="21.28515625" style="57" customWidth="1"/>
    <col min="25" max="16384" width="9.28515625" style="57"/>
  </cols>
  <sheetData>
    <row r="1" spans="1:24" s="237" customFormat="1" ht="39" customHeight="1" x14ac:dyDescent="0.25">
      <c r="A1" s="362"/>
      <c r="B1" s="363"/>
      <c r="C1" s="364"/>
      <c r="D1" s="364"/>
      <c r="E1" s="364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365" t="s">
        <v>380</v>
      </c>
      <c r="S1" s="366"/>
      <c r="T1" s="366"/>
      <c r="U1" s="366"/>
      <c r="V1" s="280"/>
      <c r="W1" s="280"/>
      <c r="X1" s="280"/>
    </row>
    <row r="2" spans="1:24" s="237" customFormat="1" ht="23.25" customHeight="1" x14ac:dyDescent="0.25">
      <c r="A2" s="367" t="s">
        <v>270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7"/>
      <c r="S2" s="367"/>
      <c r="T2" s="367"/>
      <c r="U2" s="368"/>
    </row>
    <row r="3" spans="1:24" s="237" customFormat="1" ht="24.75" customHeight="1" x14ac:dyDescent="0.25">
      <c r="A3" s="69" t="s">
        <v>97</v>
      </c>
      <c r="B3" s="369" t="s">
        <v>271</v>
      </c>
      <c r="C3" s="69" t="s">
        <v>7</v>
      </c>
      <c r="D3" s="69" t="s">
        <v>5</v>
      </c>
      <c r="E3" s="69"/>
      <c r="F3" s="69"/>
      <c r="G3" s="69"/>
      <c r="H3" s="69" t="s">
        <v>6</v>
      </c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53" t="s">
        <v>272</v>
      </c>
    </row>
    <row r="4" spans="1:24" s="237" customFormat="1" ht="42" customHeight="1" x14ac:dyDescent="0.25">
      <c r="A4" s="69"/>
      <c r="B4" s="369"/>
      <c r="C4" s="69"/>
      <c r="D4" s="13" t="s">
        <v>7</v>
      </c>
      <c r="E4" s="13" t="s">
        <v>8</v>
      </c>
      <c r="F4" s="13" t="s">
        <v>9</v>
      </c>
      <c r="G4" s="13" t="s">
        <v>10</v>
      </c>
      <c r="H4" s="13">
        <v>2014</v>
      </c>
      <c r="I4" s="13">
        <v>2015</v>
      </c>
      <c r="J4" s="13">
        <v>2016</v>
      </c>
      <c r="K4" s="13">
        <v>2017</v>
      </c>
      <c r="L4" s="13">
        <v>2018</v>
      </c>
      <c r="M4" s="13">
        <v>2019</v>
      </c>
      <c r="N4" s="13">
        <v>2020</v>
      </c>
      <c r="O4" s="13">
        <v>2021</v>
      </c>
      <c r="P4" s="13">
        <v>2022</v>
      </c>
      <c r="Q4" s="13">
        <v>2023</v>
      </c>
      <c r="R4" s="13">
        <v>2024</v>
      </c>
      <c r="S4" s="13">
        <v>2025</v>
      </c>
      <c r="T4" s="370" t="s">
        <v>11</v>
      </c>
      <c r="U4" s="53"/>
    </row>
    <row r="5" spans="1:24" ht="26.25" customHeight="1" x14ac:dyDescent="0.25">
      <c r="A5" s="34" t="s">
        <v>381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</row>
    <row r="6" spans="1:24" ht="24" customHeight="1" x14ac:dyDescent="0.25">
      <c r="A6" s="282" t="s">
        <v>382</v>
      </c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</row>
    <row r="7" spans="1:24" s="273" customFormat="1" ht="79.5" customHeight="1" x14ac:dyDescent="0.2">
      <c r="A7" s="260" t="s">
        <v>133</v>
      </c>
      <c r="B7" s="371" t="s">
        <v>383</v>
      </c>
      <c r="C7" s="13" t="s">
        <v>17</v>
      </c>
      <c r="D7" s="372">
        <v>975</v>
      </c>
      <c r="E7" s="372" t="s">
        <v>384</v>
      </c>
      <c r="F7" s="372" t="s">
        <v>385</v>
      </c>
      <c r="G7" s="372" t="s">
        <v>386</v>
      </c>
      <c r="H7" s="373">
        <v>1103.3</v>
      </c>
      <c r="I7" s="373">
        <v>0</v>
      </c>
      <c r="J7" s="373">
        <v>0</v>
      </c>
      <c r="K7" s="373">
        <f>479.9+800+106.1</f>
        <v>1386</v>
      </c>
      <c r="L7" s="373"/>
      <c r="M7" s="373"/>
      <c r="N7" s="373"/>
      <c r="O7" s="373"/>
      <c r="P7" s="373">
        <f>O7</f>
        <v>0</v>
      </c>
      <c r="Q7" s="373">
        <f>P7</f>
        <v>0</v>
      </c>
      <c r="R7" s="373">
        <f>Q7</f>
        <v>0</v>
      </c>
      <c r="S7" s="373">
        <f>R7</f>
        <v>0</v>
      </c>
      <c r="T7" s="374">
        <f>SUM(H7:S7)</f>
        <v>2489.3000000000002</v>
      </c>
      <c r="U7" s="375" t="s">
        <v>387</v>
      </c>
      <c r="V7" s="376"/>
    </row>
    <row r="8" spans="1:24" ht="35.1" customHeight="1" x14ac:dyDescent="0.25">
      <c r="A8" s="377" t="s">
        <v>136</v>
      </c>
      <c r="B8" s="378" t="s">
        <v>388</v>
      </c>
      <c r="C8" s="68" t="s">
        <v>17</v>
      </c>
      <c r="D8" s="379" t="s">
        <v>18</v>
      </c>
      <c r="E8" s="379" t="s">
        <v>384</v>
      </c>
      <c r="F8" s="379" t="s">
        <v>389</v>
      </c>
      <c r="G8" s="379" t="s">
        <v>281</v>
      </c>
      <c r="H8" s="373">
        <v>2319.5</v>
      </c>
      <c r="I8" s="373">
        <v>6037.2</v>
      </c>
      <c r="J8" s="373">
        <v>3775.2</v>
      </c>
      <c r="K8" s="373">
        <v>6081.4</v>
      </c>
      <c r="L8" s="373">
        <v>2601.9</v>
      </c>
      <c r="M8" s="373">
        <v>2151.5</v>
      </c>
      <c r="N8" s="373">
        <v>296</v>
      </c>
      <c r="O8" s="373">
        <v>7297.3</v>
      </c>
      <c r="P8" s="373">
        <f>2659.3+197.3+284+1248.5+585</f>
        <v>4974.1000000000004</v>
      </c>
      <c r="Q8" s="380">
        <v>802.7</v>
      </c>
      <c r="R8" s="373">
        <v>0</v>
      </c>
      <c r="S8" s="373">
        <v>0</v>
      </c>
      <c r="T8" s="374">
        <f t="shared" ref="T8:T64" si="0">SUM(H8:S8)</f>
        <v>36336.800000000003</v>
      </c>
      <c r="U8" s="381" t="s">
        <v>390</v>
      </c>
    </row>
    <row r="9" spans="1:24" ht="35.1" customHeight="1" x14ac:dyDescent="0.25">
      <c r="A9" s="377"/>
      <c r="B9" s="382"/>
      <c r="C9" s="70"/>
      <c r="D9" s="379" t="s">
        <v>18</v>
      </c>
      <c r="E9" s="379" t="s">
        <v>384</v>
      </c>
      <c r="F9" s="379" t="s">
        <v>389</v>
      </c>
      <c r="G9" s="379" t="s">
        <v>283</v>
      </c>
      <c r="H9" s="373">
        <v>389.7</v>
      </c>
      <c r="I9" s="373">
        <v>590.1</v>
      </c>
      <c r="J9" s="373">
        <v>889.8</v>
      </c>
      <c r="K9" s="373">
        <f>407.7+80.2+100+235.4</f>
        <v>823.3</v>
      </c>
      <c r="L9" s="373">
        <v>1366.1</v>
      </c>
      <c r="M9" s="373">
        <v>687.2</v>
      </c>
      <c r="N9" s="373"/>
      <c r="O9" s="373">
        <v>2593.6</v>
      </c>
      <c r="P9" s="373">
        <v>5699</v>
      </c>
      <c r="Q9" s="373">
        <v>59</v>
      </c>
      <c r="R9" s="373">
        <v>0</v>
      </c>
      <c r="S9" s="373">
        <f t="shared" ref="R9:S64" si="1">R9</f>
        <v>0</v>
      </c>
      <c r="T9" s="374">
        <f t="shared" si="0"/>
        <v>13097.8</v>
      </c>
      <c r="U9" s="383"/>
    </row>
    <row r="10" spans="1:24" ht="35.1" customHeight="1" x14ac:dyDescent="0.25">
      <c r="A10" s="377"/>
      <c r="B10" s="382"/>
      <c r="C10" s="70"/>
      <c r="D10" s="379" t="s">
        <v>18</v>
      </c>
      <c r="E10" s="379" t="s">
        <v>384</v>
      </c>
      <c r="F10" s="379" t="s">
        <v>389</v>
      </c>
      <c r="G10" s="379" t="s">
        <v>318</v>
      </c>
      <c r="H10" s="373"/>
      <c r="I10" s="373"/>
      <c r="J10" s="373"/>
      <c r="K10" s="373"/>
      <c r="L10" s="373">
        <v>612.20000000000005</v>
      </c>
      <c r="M10" s="373"/>
      <c r="N10" s="373"/>
      <c r="O10" s="373"/>
      <c r="P10" s="373">
        <f>O10</f>
        <v>0</v>
      </c>
      <c r="Q10" s="373">
        <f>P10</f>
        <v>0</v>
      </c>
      <c r="R10" s="373">
        <f t="shared" si="1"/>
        <v>0</v>
      </c>
      <c r="S10" s="373">
        <f t="shared" si="1"/>
        <v>0</v>
      </c>
      <c r="T10" s="374">
        <f t="shared" si="0"/>
        <v>612.20000000000005</v>
      </c>
      <c r="U10" s="383"/>
    </row>
    <row r="11" spans="1:24" ht="35.1" customHeight="1" x14ac:dyDescent="0.25">
      <c r="A11" s="377"/>
      <c r="B11" s="382"/>
      <c r="C11" s="70"/>
      <c r="D11" s="379" t="s">
        <v>18</v>
      </c>
      <c r="E11" s="379" t="s">
        <v>384</v>
      </c>
      <c r="F11" s="379" t="s">
        <v>391</v>
      </c>
      <c r="G11" s="379" t="s">
        <v>281</v>
      </c>
      <c r="H11" s="373">
        <v>0</v>
      </c>
      <c r="I11" s="373">
        <v>0</v>
      </c>
      <c r="J11" s="373">
        <v>531.20000000000005</v>
      </c>
      <c r="K11" s="373">
        <v>959.7</v>
      </c>
      <c r="L11" s="373">
        <v>486.3</v>
      </c>
      <c r="M11" s="373">
        <v>828.9</v>
      </c>
      <c r="N11" s="373">
        <v>598.5</v>
      </c>
      <c r="O11" s="373">
        <v>1102.5</v>
      </c>
      <c r="P11" s="373">
        <v>1484.5</v>
      </c>
      <c r="Q11" s="373">
        <v>1119.4000000000001</v>
      </c>
      <c r="R11" s="373">
        <v>852</v>
      </c>
      <c r="S11" s="373">
        <v>1278</v>
      </c>
      <c r="T11" s="374">
        <f t="shared" si="0"/>
        <v>9241</v>
      </c>
      <c r="U11" s="383"/>
    </row>
    <row r="12" spans="1:24" ht="35.1" customHeight="1" x14ac:dyDescent="0.25">
      <c r="A12" s="377"/>
      <c r="B12" s="382"/>
      <c r="C12" s="70"/>
      <c r="D12" s="379" t="s">
        <v>18</v>
      </c>
      <c r="E12" s="379" t="s">
        <v>384</v>
      </c>
      <c r="F12" s="379" t="s">
        <v>391</v>
      </c>
      <c r="G12" s="379" t="s">
        <v>283</v>
      </c>
      <c r="H12" s="373">
        <v>0</v>
      </c>
      <c r="I12" s="373">
        <v>0</v>
      </c>
      <c r="J12" s="373">
        <v>278.7</v>
      </c>
      <c r="K12" s="373">
        <v>0</v>
      </c>
      <c r="L12" s="373">
        <v>423</v>
      </c>
      <c r="M12" s="373">
        <v>94</v>
      </c>
      <c r="N12" s="373">
        <v>511.5</v>
      </c>
      <c r="O12" s="373">
        <v>157.5</v>
      </c>
      <c r="P12" s="373">
        <v>140.5</v>
      </c>
      <c r="Q12" s="373">
        <v>478.1</v>
      </c>
      <c r="R12" s="373">
        <v>426</v>
      </c>
      <c r="S12" s="373">
        <v>0</v>
      </c>
      <c r="T12" s="374">
        <f t="shared" si="0"/>
        <v>2509.3000000000002</v>
      </c>
      <c r="U12" s="383"/>
    </row>
    <row r="13" spans="1:24" ht="35.1" customHeight="1" x14ac:dyDescent="0.25">
      <c r="A13" s="377"/>
      <c r="B13" s="382"/>
      <c r="C13" s="70"/>
      <c r="D13" s="379" t="s">
        <v>18</v>
      </c>
      <c r="E13" s="379" t="s">
        <v>384</v>
      </c>
      <c r="F13" s="379" t="s">
        <v>392</v>
      </c>
      <c r="G13" s="379" t="s">
        <v>281</v>
      </c>
      <c r="H13" s="373"/>
      <c r="I13" s="373"/>
      <c r="J13" s="373"/>
      <c r="K13" s="373"/>
      <c r="L13" s="373"/>
      <c r="M13" s="373"/>
      <c r="N13" s="373"/>
      <c r="O13" s="373"/>
      <c r="P13" s="373">
        <v>4000</v>
      </c>
      <c r="Q13" s="373">
        <v>0</v>
      </c>
      <c r="R13" s="373">
        <v>0</v>
      </c>
      <c r="S13" s="373">
        <v>0</v>
      </c>
      <c r="T13" s="374">
        <f t="shared" si="0"/>
        <v>4000</v>
      </c>
      <c r="U13" s="383"/>
    </row>
    <row r="14" spans="1:24" ht="35.1" customHeight="1" x14ac:dyDescent="0.25">
      <c r="A14" s="377"/>
      <c r="B14" s="382"/>
      <c r="C14" s="70"/>
      <c r="D14" s="379" t="s">
        <v>18</v>
      </c>
      <c r="E14" s="379" t="s">
        <v>384</v>
      </c>
      <c r="F14" s="379" t="s">
        <v>393</v>
      </c>
      <c r="G14" s="379" t="s">
        <v>281</v>
      </c>
      <c r="H14" s="373"/>
      <c r="I14" s="373"/>
      <c r="J14" s="373"/>
      <c r="K14" s="373"/>
      <c r="L14" s="373"/>
      <c r="M14" s="373"/>
      <c r="N14" s="373"/>
      <c r="O14" s="373"/>
      <c r="P14" s="373">
        <v>170</v>
      </c>
      <c r="Q14" s="373">
        <v>0</v>
      </c>
      <c r="R14" s="373">
        <v>0</v>
      </c>
      <c r="S14" s="373">
        <v>0</v>
      </c>
      <c r="T14" s="374">
        <f t="shared" si="0"/>
        <v>170</v>
      </c>
      <c r="U14" s="383"/>
    </row>
    <row r="15" spans="1:24" ht="35.1" customHeight="1" x14ac:dyDescent="0.25">
      <c r="A15" s="377"/>
      <c r="B15" s="382"/>
      <c r="C15" s="70"/>
      <c r="D15" s="379" t="s">
        <v>18</v>
      </c>
      <c r="E15" s="379" t="s">
        <v>384</v>
      </c>
      <c r="F15" s="379" t="s">
        <v>394</v>
      </c>
      <c r="G15" s="379" t="s">
        <v>281</v>
      </c>
      <c r="H15" s="373">
        <v>0</v>
      </c>
      <c r="I15" s="373">
        <v>0</v>
      </c>
      <c r="J15" s="373">
        <v>106.2</v>
      </c>
      <c r="K15" s="373">
        <v>48</v>
      </c>
      <c r="L15" s="373"/>
      <c r="M15" s="373"/>
      <c r="N15" s="373">
        <v>55.5</v>
      </c>
      <c r="O15" s="373">
        <v>60</v>
      </c>
      <c r="P15" s="373">
        <v>65</v>
      </c>
      <c r="Q15" s="373">
        <v>87.5</v>
      </c>
      <c r="R15" s="373">
        <v>51.1</v>
      </c>
      <c r="S15" s="373">
        <v>51.1</v>
      </c>
      <c r="T15" s="374">
        <f t="shared" si="0"/>
        <v>524.4</v>
      </c>
      <c r="U15" s="383"/>
    </row>
    <row r="16" spans="1:24" ht="35.1" customHeight="1" x14ac:dyDescent="0.25">
      <c r="A16" s="377"/>
      <c r="B16" s="382"/>
      <c r="C16" s="70"/>
      <c r="D16" s="379" t="s">
        <v>18</v>
      </c>
      <c r="E16" s="379" t="s">
        <v>384</v>
      </c>
      <c r="F16" s="379" t="s">
        <v>394</v>
      </c>
      <c r="G16" s="379" t="s">
        <v>283</v>
      </c>
      <c r="H16" s="373">
        <v>0</v>
      </c>
      <c r="I16" s="373">
        <v>0</v>
      </c>
      <c r="J16" s="373">
        <v>55.8</v>
      </c>
      <c r="K16" s="373">
        <v>0</v>
      </c>
      <c r="L16" s="373">
        <v>46</v>
      </c>
      <c r="M16" s="373">
        <v>47.3</v>
      </c>
      <c r="N16" s="373">
        <v>3</v>
      </c>
      <c r="O16" s="373">
        <v>22.9</v>
      </c>
      <c r="P16" s="373">
        <v>0</v>
      </c>
      <c r="Q16" s="373">
        <v>0</v>
      </c>
      <c r="R16" s="373">
        <v>0</v>
      </c>
      <c r="S16" s="373">
        <v>0</v>
      </c>
      <c r="T16" s="374">
        <f t="shared" si="0"/>
        <v>175</v>
      </c>
      <c r="U16" s="383"/>
    </row>
    <row r="17" spans="1:21" ht="35.1" customHeight="1" x14ac:dyDescent="0.25">
      <c r="A17" s="260"/>
      <c r="B17" s="382"/>
      <c r="C17" s="70"/>
      <c r="D17" s="379" t="s">
        <v>18</v>
      </c>
      <c r="E17" s="379" t="s">
        <v>384</v>
      </c>
      <c r="F17" s="379" t="s">
        <v>395</v>
      </c>
      <c r="G17" s="379" t="s">
        <v>281</v>
      </c>
      <c r="H17" s="373"/>
      <c r="I17" s="373"/>
      <c r="J17" s="373"/>
      <c r="K17" s="373"/>
      <c r="L17" s="373"/>
      <c r="M17" s="373"/>
      <c r="N17" s="373"/>
      <c r="O17" s="373"/>
      <c r="P17" s="373">
        <v>3763.9</v>
      </c>
      <c r="Q17" s="373">
        <v>0</v>
      </c>
      <c r="R17" s="373">
        <v>0</v>
      </c>
      <c r="S17" s="373">
        <v>0</v>
      </c>
      <c r="T17" s="374">
        <f t="shared" si="0"/>
        <v>3763.9</v>
      </c>
      <c r="U17" s="383"/>
    </row>
    <row r="18" spans="1:21" ht="35.1" customHeight="1" x14ac:dyDescent="0.25">
      <c r="A18" s="260"/>
      <c r="B18" s="382"/>
      <c r="C18" s="70"/>
      <c r="D18" s="379" t="s">
        <v>18</v>
      </c>
      <c r="E18" s="379" t="s">
        <v>384</v>
      </c>
      <c r="F18" s="379" t="s">
        <v>396</v>
      </c>
      <c r="G18" s="379" t="s">
        <v>281</v>
      </c>
      <c r="H18" s="373"/>
      <c r="I18" s="373"/>
      <c r="J18" s="373"/>
      <c r="K18" s="373"/>
      <c r="L18" s="373"/>
      <c r="M18" s="373"/>
      <c r="N18" s="373"/>
      <c r="O18" s="373"/>
      <c r="P18" s="373">
        <f>2100-197.3-284-446.7</f>
        <v>1172</v>
      </c>
      <c r="Q18" s="373">
        <v>0</v>
      </c>
      <c r="R18" s="373">
        <v>0</v>
      </c>
      <c r="S18" s="373">
        <v>0</v>
      </c>
      <c r="T18" s="374">
        <f t="shared" si="0"/>
        <v>1172</v>
      </c>
      <c r="U18" s="383"/>
    </row>
    <row r="19" spans="1:21" ht="35.1" customHeight="1" x14ac:dyDescent="0.25">
      <c r="A19" s="260"/>
      <c r="B19" s="382"/>
      <c r="C19" s="70"/>
      <c r="D19" s="379" t="s">
        <v>18</v>
      </c>
      <c r="E19" s="379" t="s">
        <v>384</v>
      </c>
      <c r="F19" s="379" t="s">
        <v>397</v>
      </c>
      <c r="G19" s="379" t="s">
        <v>281</v>
      </c>
      <c r="H19" s="373"/>
      <c r="I19" s="373"/>
      <c r="J19" s="373"/>
      <c r="K19" s="373"/>
      <c r="L19" s="373"/>
      <c r="M19" s="373">
        <f>2957.5-160</f>
        <v>2797.5</v>
      </c>
      <c r="N19" s="373"/>
      <c r="O19" s="373"/>
      <c r="P19" s="373">
        <f t="shared" ref="P19:Q23" si="2">O19</f>
        <v>0</v>
      </c>
      <c r="Q19" s="373">
        <f t="shared" si="2"/>
        <v>0</v>
      </c>
      <c r="R19" s="373">
        <f t="shared" si="1"/>
        <v>0</v>
      </c>
      <c r="S19" s="373">
        <f t="shared" si="1"/>
        <v>0</v>
      </c>
      <c r="T19" s="374">
        <f t="shared" si="0"/>
        <v>2797.5</v>
      </c>
      <c r="U19" s="383"/>
    </row>
    <row r="20" spans="1:21" ht="35.1" customHeight="1" x14ac:dyDescent="0.25">
      <c r="A20" s="260"/>
      <c r="B20" s="382"/>
      <c r="C20" s="70"/>
      <c r="D20" s="379" t="s">
        <v>18</v>
      </c>
      <c r="E20" s="379" t="s">
        <v>384</v>
      </c>
      <c r="F20" s="379" t="s">
        <v>397</v>
      </c>
      <c r="G20" s="379" t="s">
        <v>281</v>
      </c>
      <c r="H20" s="373"/>
      <c r="I20" s="373"/>
      <c r="J20" s="373"/>
      <c r="K20" s="373"/>
      <c r="L20" s="373"/>
      <c r="M20" s="373">
        <v>160</v>
      </c>
      <c r="N20" s="373"/>
      <c r="O20" s="373"/>
      <c r="P20" s="373">
        <f t="shared" si="2"/>
        <v>0</v>
      </c>
      <c r="Q20" s="373">
        <f t="shared" si="2"/>
        <v>0</v>
      </c>
      <c r="R20" s="373">
        <f t="shared" si="1"/>
        <v>0</v>
      </c>
      <c r="S20" s="373">
        <f t="shared" si="1"/>
        <v>0</v>
      </c>
      <c r="T20" s="374">
        <f t="shared" si="0"/>
        <v>160</v>
      </c>
      <c r="U20" s="383"/>
    </row>
    <row r="21" spans="1:21" ht="35.1" customHeight="1" x14ac:dyDescent="0.25">
      <c r="A21" s="260"/>
      <c r="B21" s="382"/>
      <c r="C21" s="70"/>
      <c r="D21" s="379" t="s">
        <v>18</v>
      </c>
      <c r="E21" s="379" t="s">
        <v>384</v>
      </c>
      <c r="F21" s="379" t="s">
        <v>398</v>
      </c>
      <c r="G21" s="379" t="s">
        <v>399</v>
      </c>
      <c r="H21" s="373"/>
      <c r="I21" s="373"/>
      <c r="J21" s="373"/>
      <c r="K21" s="373"/>
      <c r="L21" s="373">
        <v>4549.5</v>
      </c>
      <c r="M21" s="373">
        <v>3564.6</v>
      </c>
      <c r="N21" s="373"/>
      <c r="O21" s="373"/>
      <c r="P21" s="373">
        <f t="shared" si="2"/>
        <v>0</v>
      </c>
      <c r="Q21" s="373">
        <f t="shared" si="2"/>
        <v>0</v>
      </c>
      <c r="R21" s="373">
        <f t="shared" si="1"/>
        <v>0</v>
      </c>
      <c r="S21" s="373">
        <f t="shared" si="1"/>
        <v>0</v>
      </c>
      <c r="T21" s="374">
        <f t="shared" si="0"/>
        <v>8114.1</v>
      </c>
      <c r="U21" s="383"/>
    </row>
    <row r="22" spans="1:21" ht="35.1" customHeight="1" x14ac:dyDescent="0.25">
      <c r="A22" s="260"/>
      <c r="B22" s="382"/>
      <c r="C22" s="70"/>
      <c r="D22" s="379" t="s">
        <v>18</v>
      </c>
      <c r="E22" s="379" t="s">
        <v>384</v>
      </c>
      <c r="F22" s="379" t="s">
        <v>400</v>
      </c>
      <c r="G22" s="379" t="s">
        <v>399</v>
      </c>
      <c r="H22" s="373"/>
      <c r="I22" s="373"/>
      <c r="J22" s="373"/>
      <c r="K22" s="373"/>
      <c r="L22" s="373">
        <v>505.5</v>
      </c>
      <c r="M22" s="373">
        <v>39.799999999999997</v>
      </c>
      <c r="N22" s="373"/>
      <c r="O22" s="373"/>
      <c r="P22" s="373">
        <f t="shared" si="2"/>
        <v>0</v>
      </c>
      <c r="Q22" s="373">
        <f t="shared" si="2"/>
        <v>0</v>
      </c>
      <c r="R22" s="373">
        <f t="shared" si="1"/>
        <v>0</v>
      </c>
      <c r="S22" s="373">
        <f t="shared" si="1"/>
        <v>0</v>
      </c>
      <c r="T22" s="374">
        <f t="shared" si="0"/>
        <v>545.29999999999995</v>
      </c>
      <c r="U22" s="383"/>
    </row>
    <row r="23" spans="1:21" ht="35.1" customHeight="1" x14ac:dyDescent="0.25">
      <c r="A23" s="260"/>
      <c r="B23" s="384"/>
      <c r="C23" s="255"/>
      <c r="D23" s="379"/>
      <c r="E23" s="379" t="s">
        <v>384</v>
      </c>
      <c r="F23" s="379" t="s">
        <v>401</v>
      </c>
      <c r="G23" s="385">
        <v>240</v>
      </c>
      <c r="H23" s="373"/>
      <c r="I23" s="373"/>
      <c r="J23" s="373"/>
      <c r="K23" s="373"/>
      <c r="L23" s="373"/>
      <c r="M23" s="373">
        <v>7000</v>
      </c>
      <c r="N23" s="373"/>
      <c r="O23" s="373"/>
      <c r="P23" s="373">
        <f t="shared" si="2"/>
        <v>0</v>
      </c>
      <c r="Q23" s="373">
        <f t="shared" si="2"/>
        <v>0</v>
      </c>
      <c r="R23" s="373">
        <f t="shared" si="1"/>
        <v>0</v>
      </c>
      <c r="S23" s="373">
        <f t="shared" si="1"/>
        <v>0</v>
      </c>
      <c r="T23" s="374">
        <f t="shared" si="0"/>
        <v>7000</v>
      </c>
      <c r="U23" s="386"/>
    </row>
    <row r="24" spans="1:21" ht="35.1" customHeight="1" x14ac:dyDescent="0.25">
      <c r="A24" s="387"/>
      <c r="B24" s="378" t="s">
        <v>402</v>
      </c>
      <c r="C24" s="68" t="s">
        <v>17</v>
      </c>
      <c r="D24" s="379" t="s">
        <v>18</v>
      </c>
      <c r="E24" s="379" t="s">
        <v>384</v>
      </c>
      <c r="F24" s="379" t="s">
        <v>403</v>
      </c>
      <c r="G24" s="385">
        <v>612</v>
      </c>
      <c r="H24" s="373"/>
      <c r="I24" s="373"/>
      <c r="J24" s="373"/>
      <c r="K24" s="373"/>
      <c r="L24" s="373"/>
      <c r="M24" s="373"/>
      <c r="N24" s="373"/>
      <c r="O24" s="373"/>
      <c r="P24" s="373"/>
      <c r="Q24" s="380">
        <v>1744.8</v>
      </c>
      <c r="R24" s="373"/>
      <c r="S24" s="373"/>
      <c r="T24" s="374">
        <f t="shared" si="0"/>
        <v>1744.8</v>
      </c>
      <c r="U24" s="388"/>
    </row>
    <row r="25" spans="1:21" ht="35.1" customHeight="1" x14ac:dyDescent="0.25">
      <c r="A25" s="387"/>
      <c r="B25" s="382"/>
      <c r="C25" s="70"/>
      <c r="D25" s="379" t="s">
        <v>18</v>
      </c>
      <c r="E25" s="379" t="s">
        <v>384</v>
      </c>
      <c r="F25" s="379" t="s">
        <v>403</v>
      </c>
      <c r="G25" s="385">
        <v>622</v>
      </c>
      <c r="H25" s="373"/>
      <c r="I25" s="373"/>
      <c r="J25" s="373"/>
      <c r="K25" s="373"/>
      <c r="L25" s="373"/>
      <c r="M25" s="373"/>
      <c r="N25" s="373"/>
      <c r="O25" s="373"/>
      <c r="P25" s="373"/>
      <c r="Q25" s="380">
        <v>2261</v>
      </c>
      <c r="R25" s="373"/>
      <c r="S25" s="373"/>
      <c r="T25" s="374">
        <f t="shared" si="0"/>
        <v>2261</v>
      </c>
      <c r="U25" s="388"/>
    </row>
    <row r="26" spans="1:21" ht="35.1" customHeight="1" x14ac:dyDescent="0.25">
      <c r="A26" s="387"/>
      <c r="B26" s="384"/>
      <c r="C26" s="255"/>
      <c r="D26" s="379" t="s">
        <v>18</v>
      </c>
      <c r="E26" s="379" t="s">
        <v>384</v>
      </c>
      <c r="F26" s="379" t="s">
        <v>404</v>
      </c>
      <c r="G26" s="385">
        <v>612</v>
      </c>
      <c r="H26" s="373"/>
      <c r="I26" s="373"/>
      <c r="J26" s="373"/>
      <c r="K26" s="373"/>
      <c r="L26" s="373"/>
      <c r="M26" s="373"/>
      <c r="N26" s="373"/>
      <c r="O26" s="373"/>
      <c r="P26" s="373"/>
      <c r="Q26" s="380">
        <v>200.3</v>
      </c>
      <c r="R26" s="373"/>
      <c r="S26" s="373"/>
      <c r="T26" s="374">
        <f t="shared" si="0"/>
        <v>200.3</v>
      </c>
      <c r="U26" s="388"/>
    </row>
    <row r="27" spans="1:21" ht="35.1" customHeight="1" x14ac:dyDescent="0.25">
      <c r="A27" s="389" t="s">
        <v>138</v>
      </c>
      <c r="B27" s="390" t="s">
        <v>405</v>
      </c>
      <c r="C27" s="69" t="s">
        <v>17</v>
      </c>
      <c r="D27" s="379" t="s">
        <v>18</v>
      </c>
      <c r="E27" s="379" t="s">
        <v>406</v>
      </c>
      <c r="F27" s="379" t="s">
        <v>407</v>
      </c>
      <c r="G27" s="379" t="s">
        <v>281</v>
      </c>
      <c r="H27" s="373">
        <v>5267.9</v>
      </c>
      <c r="I27" s="373">
        <v>4744.6000000000004</v>
      </c>
      <c r="J27" s="373">
        <v>5833</v>
      </c>
      <c r="K27" s="373">
        <v>6378.5</v>
      </c>
      <c r="L27" s="373">
        <v>8215.2000000000007</v>
      </c>
      <c r="M27" s="373">
        <v>7991.1</v>
      </c>
      <c r="N27" s="373">
        <v>7717.2</v>
      </c>
      <c r="O27" s="373">
        <v>8112.8</v>
      </c>
      <c r="P27" s="373">
        <v>10099.1</v>
      </c>
      <c r="Q27" s="373">
        <v>11223.4</v>
      </c>
      <c r="R27" s="373">
        <v>11102.3</v>
      </c>
      <c r="S27" s="373">
        <v>11102.3</v>
      </c>
      <c r="T27" s="374">
        <f t="shared" si="0"/>
        <v>97787.400000000009</v>
      </c>
      <c r="U27" s="34" t="s">
        <v>408</v>
      </c>
    </row>
    <row r="28" spans="1:21" ht="35.1" customHeight="1" x14ac:dyDescent="0.25">
      <c r="A28" s="391"/>
      <c r="B28" s="390"/>
      <c r="C28" s="69"/>
      <c r="D28" s="379" t="s">
        <v>18</v>
      </c>
      <c r="E28" s="379" t="s">
        <v>406</v>
      </c>
      <c r="F28" s="379" t="s">
        <v>407</v>
      </c>
      <c r="G28" s="379" t="s">
        <v>283</v>
      </c>
      <c r="H28" s="373">
        <v>1080.8</v>
      </c>
      <c r="I28" s="373">
        <v>1020.8</v>
      </c>
      <c r="J28" s="373">
        <v>1237.7</v>
      </c>
      <c r="K28" s="373">
        <v>1529.5</v>
      </c>
      <c r="L28" s="373">
        <v>1757.5</v>
      </c>
      <c r="M28" s="373">
        <v>1484.6</v>
      </c>
      <c r="N28" s="373">
        <v>1296.2</v>
      </c>
      <c r="O28" s="373">
        <v>1287.2</v>
      </c>
      <c r="P28" s="373">
        <v>1565.2</v>
      </c>
      <c r="Q28" s="373">
        <v>2219.8000000000002</v>
      </c>
      <c r="R28" s="373">
        <v>2195.9</v>
      </c>
      <c r="S28" s="373">
        <v>2195.9</v>
      </c>
      <c r="T28" s="374">
        <f t="shared" si="0"/>
        <v>18871.100000000006</v>
      </c>
      <c r="U28" s="34"/>
    </row>
    <row r="29" spans="1:21" ht="35.1" customHeight="1" x14ac:dyDescent="0.25">
      <c r="A29" s="391"/>
      <c r="B29" s="392"/>
      <c r="C29" s="69"/>
      <c r="D29" s="379" t="s">
        <v>18</v>
      </c>
      <c r="E29" s="379" t="s">
        <v>406</v>
      </c>
      <c r="F29" s="379" t="s">
        <v>407</v>
      </c>
      <c r="G29" s="379" t="s">
        <v>284</v>
      </c>
      <c r="H29" s="373"/>
      <c r="I29" s="373"/>
      <c r="J29" s="373"/>
      <c r="K29" s="373"/>
      <c r="L29" s="373"/>
      <c r="M29" s="373"/>
      <c r="N29" s="373"/>
      <c r="O29" s="373">
        <v>0</v>
      </c>
      <c r="P29" s="373">
        <v>0</v>
      </c>
      <c r="Q29" s="373">
        <v>3808.1</v>
      </c>
      <c r="R29" s="373">
        <v>3767.1</v>
      </c>
      <c r="S29" s="373">
        <v>3767.1</v>
      </c>
      <c r="T29" s="374">
        <f t="shared" si="0"/>
        <v>11342.3</v>
      </c>
      <c r="U29" s="34"/>
    </row>
    <row r="30" spans="1:21" s="191" customFormat="1" ht="35.1" customHeight="1" x14ac:dyDescent="0.25">
      <c r="A30" s="391"/>
      <c r="B30" s="390" t="s">
        <v>409</v>
      </c>
      <c r="C30" s="69"/>
      <c r="D30" s="371">
        <v>975</v>
      </c>
      <c r="E30" s="379" t="s">
        <v>406</v>
      </c>
      <c r="F30" s="379" t="s">
        <v>410</v>
      </c>
      <c r="G30" s="385">
        <v>612</v>
      </c>
      <c r="H30" s="373"/>
      <c r="I30" s="373"/>
      <c r="J30" s="373"/>
      <c r="K30" s="373"/>
      <c r="L30" s="373"/>
      <c r="M30" s="373"/>
      <c r="N30" s="373">
        <v>4369.5</v>
      </c>
      <c r="O30" s="373">
        <v>9368.7000000000007</v>
      </c>
      <c r="P30" s="373">
        <v>10907.6</v>
      </c>
      <c r="Q30" s="373">
        <v>11491.3</v>
      </c>
      <c r="R30" s="373">
        <v>11491.3</v>
      </c>
      <c r="S30" s="373">
        <v>11708.1</v>
      </c>
      <c r="T30" s="374">
        <f t="shared" si="0"/>
        <v>59336.500000000007</v>
      </c>
      <c r="U30" s="34"/>
    </row>
    <row r="31" spans="1:21" s="191" customFormat="1" ht="35.1" customHeight="1" x14ac:dyDescent="0.25">
      <c r="A31" s="391"/>
      <c r="B31" s="390"/>
      <c r="C31" s="69"/>
      <c r="D31" s="371">
        <v>975</v>
      </c>
      <c r="E31" s="379" t="s">
        <v>406</v>
      </c>
      <c r="F31" s="379" t="s">
        <v>410</v>
      </c>
      <c r="G31" s="385">
        <v>622</v>
      </c>
      <c r="H31" s="373"/>
      <c r="I31" s="373"/>
      <c r="J31" s="373"/>
      <c r="K31" s="373"/>
      <c r="L31" s="373"/>
      <c r="M31" s="373"/>
      <c r="N31" s="373">
        <v>1530.9</v>
      </c>
      <c r="O31" s="373">
        <v>2615.6999999999998</v>
      </c>
      <c r="P31" s="373">
        <v>3340.4</v>
      </c>
      <c r="Q31" s="373">
        <v>3414.4</v>
      </c>
      <c r="R31" s="373">
        <v>3414.4</v>
      </c>
      <c r="S31" s="373">
        <v>3478.8</v>
      </c>
      <c r="T31" s="374">
        <f t="shared" si="0"/>
        <v>17794.599999999999</v>
      </c>
      <c r="U31" s="34"/>
    </row>
    <row r="32" spans="1:21" s="191" customFormat="1" ht="47.45" customHeight="1" x14ac:dyDescent="0.25">
      <c r="A32" s="391"/>
      <c r="B32" s="390"/>
      <c r="C32" s="69"/>
      <c r="D32" s="371">
        <v>975</v>
      </c>
      <c r="E32" s="379" t="s">
        <v>406</v>
      </c>
      <c r="F32" s="379" t="s">
        <v>410</v>
      </c>
      <c r="G32" s="385">
        <v>870</v>
      </c>
      <c r="H32" s="373"/>
      <c r="I32" s="373"/>
      <c r="J32" s="373"/>
      <c r="K32" s="373"/>
      <c r="L32" s="373"/>
      <c r="M32" s="373"/>
      <c r="N32" s="373">
        <f>425.1-N33</f>
        <v>412.5</v>
      </c>
      <c r="O32" s="373">
        <v>1269.5</v>
      </c>
      <c r="P32" s="373">
        <v>459.1</v>
      </c>
      <c r="Q32" s="373">
        <v>0</v>
      </c>
      <c r="R32" s="373">
        <v>0</v>
      </c>
      <c r="S32" s="373">
        <v>0</v>
      </c>
      <c r="T32" s="374">
        <f t="shared" si="0"/>
        <v>2141.1</v>
      </c>
      <c r="U32" s="34"/>
    </row>
    <row r="33" spans="1:22" s="191" customFormat="1" ht="47.45" customHeight="1" x14ac:dyDescent="0.25">
      <c r="A33" s="391"/>
      <c r="B33" s="392"/>
      <c r="C33" s="69"/>
      <c r="D33" s="371">
        <v>975</v>
      </c>
      <c r="E33" s="379" t="s">
        <v>406</v>
      </c>
      <c r="F33" s="379" t="s">
        <v>411</v>
      </c>
      <c r="G33" s="385"/>
      <c r="H33" s="373"/>
      <c r="I33" s="373"/>
      <c r="J33" s="373"/>
      <c r="K33" s="373"/>
      <c r="L33" s="373"/>
      <c r="M33" s="373"/>
      <c r="N33" s="373">
        <v>12.6</v>
      </c>
      <c r="O33" s="373">
        <v>32.700000000000003</v>
      </c>
      <c r="P33" s="373">
        <v>17.399999999999999</v>
      </c>
      <c r="Q33" s="373">
        <v>14.9</v>
      </c>
      <c r="R33" s="373">
        <v>14.9</v>
      </c>
      <c r="S33" s="373">
        <v>15.2</v>
      </c>
      <c r="T33" s="374">
        <f t="shared" si="0"/>
        <v>107.70000000000002</v>
      </c>
      <c r="U33" s="34"/>
    </row>
    <row r="34" spans="1:22" ht="62.45" customHeight="1" x14ac:dyDescent="0.25">
      <c r="A34" s="391"/>
      <c r="B34" s="393" t="s">
        <v>412</v>
      </c>
      <c r="C34" s="69"/>
      <c r="D34" s="371">
        <v>975</v>
      </c>
      <c r="E34" s="379" t="s">
        <v>406</v>
      </c>
      <c r="F34" s="379" t="s">
        <v>413</v>
      </c>
      <c r="G34" s="385">
        <v>870</v>
      </c>
      <c r="H34" s="373"/>
      <c r="I34" s="373"/>
      <c r="J34" s="373"/>
      <c r="K34" s="373"/>
      <c r="L34" s="373"/>
      <c r="M34" s="373"/>
      <c r="N34" s="373"/>
      <c r="O34" s="373"/>
      <c r="P34" s="373"/>
      <c r="Q34" s="373"/>
      <c r="R34" s="373">
        <f t="shared" si="1"/>
        <v>0</v>
      </c>
      <c r="S34" s="373">
        <f t="shared" si="1"/>
        <v>0</v>
      </c>
      <c r="T34" s="374">
        <f t="shared" si="0"/>
        <v>0</v>
      </c>
      <c r="U34" s="34"/>
    </row>
    <row r="35" spans="1:22" ht="35.1" customHeight="1" x14ac:dyDescent="0.25">
      <c r="A35" s="391"/>
      <c r="B35" s="378" t="s">
        <v>405</v>
      </c>
      <c r="C35" s="69"/>
      <c r="D35" s="379" t="s">
        <v>18</v>
      </c>
      <c r="E35" s="379" t="s">
        <v>406</v>
      </c>
      <c r="F35" s="379" t="s">
        <v>414</v>
      </c>
      <c r="G35" s="379" t="s">
        <v>281</v>
      </c>
      <c r="H35" s="373">
        <v>0</v>
      </c>
      <c r="I35" s="373">
        <v>0</v>
      </c>
      <c r="J35" s="373">
        <v>187.8</v>
      </c>
      <c r="K35" s="373">
        <v>0</v>
      </c>
      <c r="L35" s="373">
        <v>0</v>
      </c>
      <c r="M35" s="373">
        <v>0</v>
      </c>
      <c r="N35" s="373">
        <v>0</v>
      </c>
      <c r="O35" s="373">
        <v>0</v>
      </c>
      <c r="P35" s="373">
        <f t="shared" ref="P35:Q41" si="3">O35</f>
        <v>0</v>
      </c>
      <c r="Q35" s="373">
        <f t="shared" si="3"/>
        <v>0</v>
      </c>
      <c r="R35" s="373">
        <f t="shared" si="1"/>
        <v>0</v>
      </c>
      <c r="S35" s="373">
        <f t="shared" si="1"/>
        <v>0</v>
      </c>
      <c r="T35" s="374">
        <f t="shared" si="0"/>
        <v>187.8</v>
      </c>
      <c r="U35" s="34"/>
    </row>
    <row r="36" spans="1:22" ht="35.1" customHeight="1" x14ac:dyDescent="0.25">
      <c r="A36" s="391"/>
      <c r="B36" s="382"/>
      <c r="C36" s="69"/>
      <c r="D36" s="379" t="s">
        <v>18</v>
      </c>
      <c r="E36" s="379" t="s">
        <v>406</v>
      </c>
      <c r="F36" s="379" t="s">
        <v>414</v>
      </c>
      <c r="G36" s="379" t="s">
        <v>283</v>
      </c>
      <c r="H36" s="373">
        <v>0</v>
      </c>
      <c r="I36" s="373">
        <v>0</v>
      </c>
      <c r="J36" s="373">
        <v>101.5</v>
      </c>
      <c r="K36" s="373">
        <v>0</v>
      </c>
      <c r="L36" s="373">
        <v>0</v>
      </c>
      <c r="M36" s="373">
        <v>0</v>
      </c>
      <c r="N36" s="373">
        <v>0</v>
      </c>
      <c r="O36" s="373">
        <v>0</v>
      </c>
      <c r="P36" s="373">
        <f t="shared" si="3"/>
        <v>0</v>
      </c>
      <c r="Q36" s="373">
        <f t="shared" si="3"/>
        <v>0</v>
      </c>
      <c r="R36" s="373">
        <f t="shared" si="1"/>
        <v>0</v>
      </c>
      <c r="S36" s="373">
        <f t="shared" si="1"/>
        <v>0</v>
      </c>
      <c r="T36" s="374">
        <f t="shared" si="0"/>
        <v>101.5</v>
      </c>
      <c r="U36" s="34"/>
    </row>
    <row r="37" spans="1:22" s="58" customFormat="1" ht="35.1" customHeight="1" x14ac:dyDescent="0.25">
      <c r="A37" s="391"/>
      <c r="B37" s="392"/>
      <c r="C37" s="13"/>
      <c r="D37" s="379" t="s">
        <v>18</v>
      </c>
      <c r="E37" s="379" t="s">
        <v>406</v>
      </c>
      <c r="F37" s="379" t="s">
        <v>415</v>
      </c>
      <c r="G37" s="379" t="s">
        <v>284</v>
      </c>
      <c r="H37" s="373">
        <v>0</v>
      </c>
      <c r="I37" s="373">
        <v>0</v>
      </c>
      <c r="J37" s="373">
        <v>0</v>
      </c>
      <c r="K37" s="373">
        <v>0</v>
      </c>
      <c r="L37" s="373">
        <v>0</v>
      </c>
      <c r="M37" s="373">
        <v>0</v>
      </c>
      <c r="N37" s="373">
        <v>0</v>
      </c>
      <c r="O37" s="373">
        <v>0</v>
      </c>
      <c r="P37" s="373">
        <v>100</v>
      </c>
      <c r="Q37" s="373">
        <v>0</v>
      </c>
      <c r="R37" s="373">
        <f t="shared" si="1"/>
        <v>0</v>
      </c>
      <c r="S37" s="373">
        <f t="shared" si="1"/>
        <v>0</v>
      </c>
      <c r="T37" s="374">
        <f t="shared" si="0"/>
        <v>100</v>
      </c>
      <c r="U37" s="371"/>
      <c r="V37" s="58" t="s">
        <v>325</v>
      </c>
    </row>
    <row r="38" spans="1:22" s="58" customFormat="1" ht="35.1" customHeight="1" x14ac:dyDescent="0.25">
      <c r="A38" s="391"/>
      <c r="B38" s="378" t="s">
        <v>416</v>
      </c>
      <c r="C38" s="13"/>
      <c r="D38" s="379" t="s">
        <v>18</v>
      </c>
      <c r="E38" s="379" t="s">
        <v>384</v>
      </c>
      <c r="F38" s="379" t="s">
        <v>415</v>
      </c>
      <c r="G38" s="379" t="s">
        <v>281</v>
      </c>
      <c r="H38" s="373">
        <v>0</v>
      </c>
      <c r="I38" s="373">
        <v>0</v>
      </c>
      <c r="J38" s="373">
        <v>0</v>
      </c>
      <c r="K38" s="373">
        <v>0</v>
      </c>
      <c r="L38" s="373">
        <v>0</v>
      </c>
      <c r="M38" s="373">
        <v>0</v>
      </c>
      <c r="N38" s="373">
        <v>0</v>
      </c>
      <c r="O38" s="373">
        <v>0</v>
      </c>
      <c r="P38" s="373">
        <v>52.8</v>
      </c>
      <c r="Q38" s="373">
        <v>158</v>
      </c>
      <c r="R38" s="373">
        <v>0</v>
      </c>
      <c r="S38" s="373">
        <f>R38</f>
        <v>0</v>
      </c>
      <c r="T38" s="374">
        <f>SUM(H38:S38)</f>
        <v>210.8</v>
      </c>
      <c r="U38" s="371"/>
      <c r="V38" s="58" t="s">
        <v>325</v>
      </c>
    </row>
    <row r="39" spans="1:22" s="58" customFormat="1" ht="35.1" customHeight="1" x14ac:dyDescent="0.25">
      <c r="A39" s="394"/>
      <c r="B39" s="382"/>
      <c r="C39" s="13"/>
      <c r="D39" s="379" t="s">
        <v>18</v>
      </c>
      <c r="E39" s="379" t="s">
        <v>384</v>
      </c>
      <c r="F39" s="379" t="s">
        <v>415</v>
      </c>
      <c r="G39" s="379" t="s">
        <v>283</v>
      </c>
      <c r="H39" s="373">
        <v>0</v>
      </c>
      <c r="I39" s="373">
        <v>0</v>
      </c>
      <c r="J39" s="373">
        <v>0</v>
      </c>
      <c r="K39" s="373">
        <v>0</v>
      </c>
      <c r="L39" s="373">
        <v>0</v>
      </c>
      <c r="M39" s="373">
        <v>0</v>
      </c>
      <c r="N39" s="373">
        <v>0</v>
      </c>
      <c r="O39" s="373">
        <v>0</v>
      </c>
      <c r="P39" s="373">
        <v>22.9</v>
      </c>
      <c r="Q39" s="373">
        <v>109.1</v>
      </c>
      <c r="R39" s="373">
        <v>0</v>
      </c>
      <c r="S39" s="373">
        <f>R39</f>
        <v>0</v>
      </c>
      <c r="T39" s="374">
        <f>SUM(H39:S39)</f>
        <v>132</v>
      </c>
      <c r="U39" s="371"/>
      <c r="V39" s="58" t="s">
        <v>325</v>
      </c>
    </row>
    <row r="40" spans="1:22" s="58" customFormat="1" ht="62.25" customHeight="1" x14ac:dyDescent="0.25">
      <c r="A40" s="395" t="s">
        <v>141</v>
      </c>
      <c r="B40" s="396" t="s">
        <v>417</v>
      </c>
      <c r="C40" s="371" t="s">
        <v>17</v>
      </c>
      <c r="D40" s="379" t="s">
        <v>18</v>
      </c>
      <c r="E40" s="379" t="s">
        <v>384</v>
      </c>
      <c r="F40" s="379" t="s">
        <v>418</v>
      </c>
      <c r="G40" s="379" t="s">
        <v>281</v>
      </c>
      <c r="H40" s="373"/>
      <c r="I40" s="373">
        <v>694</v>
      </c>
      <c r="J40" s="373"/>
      <c r="K40" s="373"/>
      <c r="L40" s="373"/>
      <c r="M40" s="373"/>
      <c r="N40" s="373"/>
      <c r="O40" s="373"/>
      <c r="P40" s="373">
        <f t="shared" si="3"/>
        <v>0</v>
      </c>
      <c r="Q40" s="373">
        <f t="shared" si="3"/>
        <v>0</v>
      </c>
      <c r="R40" s="373">
        <f t="shared" si="1"/>
        <v>0</v>
      </c>
      <c r="S40" s="373">
        <f t="shared" si="1"/>
        <v>0</v>
      </c>
      <c r="T40" s="374">
        <f t="shared" si="0"/>
        <v>694</v>
      </c>
      <c r="U40" s="397"/>
    </row>
    <row r="41" spans="1:22" s="58" customFormat="1" ht="63.75" customHeight="1" x14ac:dyDescent="0.25">
      <c r="A41" s="395" t="s">
        <v>143</v>
      </c>
      <c r="B41" s="396" t="s">
        <v>419</v>
      </c>
      <c r="C41" s="371" t="s">
        <v>17</v>
      </c>
      <c r="D41" s="379" t="s">
        <v>18</v>
      </c>
      <c r="E41" s="379" t="s">
        <v>384</v>
      </c>
      <c r="F41" s="379" t="s">
        <v>420</v>
      </c>
      <c r="G41" s="379" t="s">
        <v>281</v>
      </c>
      <c r="H41" s="373">
        <v>0</v>
      </c>
      <c r="I41" s="373">
        <v>7.3</v>
      </c>
      <c r="J41" s="373"/>
      <c r="K41" s="373"/>
      <c r="L41" s="373"/>
      <c r="M41" s="373"/>
      <c r="N41" s="373"/>
      <c r="O41" s="373"/>
      <c r="P41" s="373">
        <f t="shared" si="3"/>
        <v>0</v>
      </c>
      <c r="Q41" s="373">
        <f t="shared" si="3"/>
        <v>0</v>
      </c>
      <c r="R41" s="373">
        <f t="shared" si="1"/>
        <v>0</v>
      </c>
      <c r="S41" s="373">
        <f t="shared" si="1"/>
        <v>0</v>
      </c>
      <c r="T41" s="374">
        <f t="shared" si="0"/>
        <v>7.3</v>
      </c>
      <c r="U41" s="397"/>
    </row>
    <row r="42" spans="1:22" s="58" customFormat="1" ht="46.5" customHeight="1" x14ac:dyDescent="0.25">
      <c r="A42" s="395" t="s">
        <v>421</v>
      </c>
      <c r="B42" s="396" t="s">
        <v>422</v>
      </c>
      <c r="C42" s="371" t="s">
        <v>17</v>
      </c>
      <c r="D42" s="379" t="s">
        <v>18</v>
      </c>
      <c r="E42" s="379" t="s">
        <v>384</v>
      </c>
      <c r="F42" s="379" t="s">
        <v>423</v>
      </c>
      <c r="G42" s="379" t="s">
        <v>424</v>
      </c>
      <c r="H42" s="373"/>
      <c r="I42" s="373"/>
      <c r="J42" s="373">
        <v>6.8</v>
      </c>
      <c r="K42" s="373">
        <f>6.8+86.4</f>
        <v>93.2</v>
      </c>
      <c r="L42" s="373">
        <f>46.4+46.8</f>
        <v>93.199999999999989</v>
      </c>
      <c r="M42" s="373">
        <v>7.9</v>
      </c>
      <c r="N42" s="373">
        <v>6.04</v>
      </c>
      <c r="O42" s="373">
        <v>4.9000000000000004</v>
      </c>
      <c r="P42" s="373">
        <v>51.2</v>
      </c>
      <c r="Q42" s="373"/>
      <c r="R42" s="373">
        <f t="shared" si="1"/>
        <v>0</v>
      </c>
      <c r="S42" s="373">
        <f t="shared" si="1"/>
        <v>0</v>
      </c>
      <c r="T42" s="374">
        <f t="shared" si="0"/>
        <v>263.24</v>
      </c>
      <c r="U42" s="369" t="s">
        <v>425</v>
      </c>
    </row>
    <row r="43" spans="1:22" s="58" customFormat="1" ht="35.1" customHeight="1" x14ac:dyDescent="0.25">
      <c r="A43" s="377" t="s">
        <v>426</v>
      </c>
      <c r="B43" s="398" t="s">
        <v>427</v>
      </c>
      <c r="C43" s="369" t="s">
        <v>17</v>
      </c>
      <c r="D43" s="379" t="s">
        <v>18</v>
      </c>
      <c r="E43" s="379" t="s">
        <v>384</v>
      </c>
      <c r="F43" s="379" t="s">
        <v>423</v>
      </c>
      <c r="G43" s="379" t="s">
        <v>424</v>
      </c>
      <c r="H43" s="373"/>
      <c r="I43" s="373"/>
      <c r="J43" s="373">
        <v>16.7</v>
      </c>
      <c r="K43" s="373">
        <f>10.1+2</f>
        <v>12.1</v>
      </c>
      <c r="L43" s="373">
        <v>10.5</v>
      </c>
      <c r="M43" s="373">
        <v>1.9</v>
      </c>
      <c r="N43" s="373">
        <f>1.58-0.12</f>
        <v>1.46</v>
      </c>
      <c r="O43" s="373">
        <v>1.6</v>
      </c>
      <c r="P43" s="373">
        <v>13</v>
      </c>
      <c r="Q43" s="373"/>
      <c r="R43" s="373">
        <f t="shared" si="1"/>
        <v>0</v>
      </c>
      <c r="S43" s="373">
        <f t="shared" si="1"/>
        <v>0</v>
      </c>
      <c r="T43" s="374">
        <f t="shared" si="0"/>
        <v>57.26</v>
      </c>
      <c r="U43" s="369"/>
    </row>
    <row r="44" spans="1:22" s="58" customFormat="1" ht="35.1" customHeight="1" x14ac:dyDescent="0.25">
      <c r="A44" s="377"/>
      <c r="B44" s="398"/>
      <c r="C44" s="369"/>
      <c r="D44" s="379" t="s">
        <v>18</v>
      </c>
      <c r="E44" s="379" t="s">
        <v>384</v>
      </c>
      <c r="F44" s="379" t="s">
        <v>428</v>
      </c>
      <c r="G44" s="379" t="s">
        <v>281</v>
      </c>
      <c r="H44" s="373"/>
      <c r="I44" s="373"/>
      <c r="J44" s="373">
        <v>7.2</v>
      </c>
      <c r="K44" s="373"/>
      <c r="L44" s="373"/>
      <c r="M44" s="373"/>
      <c r="N44" s="373">
        <v>6</v>
      </c>
      <c r="O44" s="373">
        <v>1</v>
      </c>
      <c r="P44" s="373">
        <v>0</v>
      </c>
      <c r="Q44" s="373"/>
      <c r="R44" s="373">
        <f t="shared" si="1"/>
        <v>0</v>
      </c>
      <c r="S44" s="373">
        <f t="shared" si="1"/>
        <v>0</v>
      </c>
      <c r="T44" s="374">
        <f t="shared" si="0"/>
        <v>14.2</v>
      </c>
      <c r="U44" s="369"/>
    </row>
    <row r="45" spans="1:22" ht="35.1" customHeight="1" x14ac:dyDescent="0.25">
      <c r="A45" s="377" t="s">
        <v>429</v>
      </c>
      <c r="B45" s="68" t="s">
        <v>430</v>
      </c>
      <c r="C45" s="369" t="s">
        <v>17</v>
      </c>
      <c r="D45" s="379" t="s">
        <v>18</v>
      </c>
      <c r="E45" s="379" t="s">
        <v>384</v>
      </c>
      <c r="F45" s="379" t="s">
        <v>431</v>
      </c>
      <c r="G45" s="379" t="s">
        <v>432</v>
      </c>
      <c r="H45" s="373"/>
      <c r="I45" s="373"/>
      <c r="J45" s="373"/>
      <c r="K45" s="373"/>
      <c r="L45" s="373"/>
      <c r="M45" s="373"/>
      <c r="N45" s="373">
        <v>0</v>
      </c>
      <c r="O45" s="373">
        <v>0</v>
      </c>
      <c r="P45" s="373">
        <v>0</v>
      </c>
      <c r="Q45" s="373">
        <v>0</v>
      </c>
      <c r="R45" s="373">
        <f t="shared" si="1"/>
        <v>0</v>
      </c>
      <c r="S45" s="373">
        <f t="shared" si="1"/>
        <v>0</v>
      </c>
      <c r="T45" s="374">
        <f t="shared" si="0"/>
        <v>0</v>
      </c>
      <c r="U45" s="42"/>
    </row>
    <row r="46" spans="1:22" ht="35.1" customHeight="1" x14ac:dyDescent="0.25">
      <c r="A46" s="377"/>
      <c r="B46" s="255"/>
      <c r="C46" s="369"/>
      <c r="D46" s="379" t="s">
        <v>18</v>
      </c>
      <c r="E46" s="379" t="s">
        <v>384</v>
      </c>
      <c r="F46" s="379" t="s">
        <v>433</v>
      </c>
      <c r="G46" s="379" t="s">
        <v>432</v>
      </c>
      <c r="H46" s="373"/>
      <c r="I46" s="373"/>
      <c r="J46" s="373"/>
      <c r="K46" s="373"/>
      <c r="L46" s="373"/>
      <c r="M46" s="373"/>
      <c r="N46" s="373"/>
      <c r="O46" s="373">
        <v>0</v>
      </c>
      <c r="P46" s="373">
        <v>0</v>
      </c>
      <c r="Q46" s="373">
        <v>0</v>
      </c>
      <c r="R46" s="373">
        <f t="shared" si="1"/>
        <v>0</v>
      </c>
      <c r="S46" s="373">
        <f t="shared" si="1"/>
        <v>0</v>
      </c>
      <c r="T46" s="374">
        <f t="shared" si="0"/>
        <v>0</v>
      </c>
      <c r="U46" s="81"/>
    </row>
    <row r="47" spans="1:22" ht="35.1" customHeight="1" x14ac:dyDescent="0.25">
      <c r="A47" s="377" t="s">
        <v>434</v>
      </c>
      <c r="B47" s="68" t="s">
        <v>435</v>
      </c>
      <c r="C47" s="369" t="s">
        <v>17</v>
      </c>
      <c r="D47" s="379" t="s">
        <v>18</v>
      </c>
      <c r="E47" s="379" t="s">
        <v>384</v>
      </c>
      <c r="F47" s="379" t="s">
        <v>433</v>
      </c>
      <c r="G47" s="379" t="s">
        <v>281</v>
      </c>
      <c r="H47" s="373"/>
      <c r="I47" s="373"/>
      <c r="J47" s="373"/>
      <c r="K47" s="373"/>
      <c r="L47" s="373"/>
      <c r="M47" s="373"/>
      <c r="N47" s="373"/>
      <c r="O47" s="373">
        <v>0</v>
      </c>
      <c r="P47" s="373">
        <v>0</v>
      </c>
      <c r="Q47" s="373">
        <v>0</v>
      </c>
      <c r="R47" s="373">
        <f t="shared" si="1"/>
        <v>0</v>
      </c>
      <c r="S47" s="373">
        <f t="shared" si="1"/>
        <v>0</v>
      </c>
      <c r="T47" s="374">
        <f t="shared" si="0"/>
        <v>0</v>
      </c>
    </row>
    <row r="48" spans="1:22" ht="35.1" customHeight="1" x14ac:dyDescent="0.25">
      <c r="A48" s="377"/>
      <c r="B48" s="255"/>
      <c r="C48" s="369"/>
      <c r="D48" s="379" t="s">
        <v>18</v>
      </c>
      <c r="E48" s="379" t="s">
        <v>384</v>
      </c>
      <c r="F48" s="379" t="s">
        <v>433</v>
      </c>
      <c r="G48" s="379" t="s">
        <v>432</v>
      </c>
      <c r="H48" s="373"/>
      <c r="I48" s="373"/>
      <c r="J48" s="373"/>
      <c r="K48" s="373"/>
      <c r="L48" s="373"/>
      <c r="M48" s="373"/>
      <c r="N48" s="373"/>
      <c r="O48" s="373">
        <v>0</v>
      </c>
      <c r="P48" s="373">
        <v>0</v>
      </c>
      <c r="Q48" s="373">
        <f>P48</f>
        <v>0</v>
      </c>
      <c r="R48" s="373">
        <f t="shared" si="1"/>
        <v>0</v>
      </c>
      <c r="S48" s="373">
        <f t="shared" si="1"/>
        <v>0</v>
      </c>
      <c r="T48" s="374">
        <f t="shared" si="0"/>
        <v>0</v>
      </c>
    </row>
    <row r="49" spans="1:21" ht="35.1" customHeight="1" x14ac:dyDescent="0.25">
      <c r="A49" s="377" t="s">
        <v>436</v>
      </c>
      <c r="B49" s="399" t="s">
        <v>437</v>
      </c>
      <c r="C49" s="369" t="s">
        <v>17</v>
      </c>
      <c r="D49" s="379" t="s">
        <v>18</v>
      </c>
      <c r="E49" s="379" t="s">
        <v>384</v>
      </c>
      <c r="F49" s="379" t="s">
        <v>438</v>
      </c>
      <c r="G49" s="379" t="s">
        <v>281</v>
      </c>
      <c r="H49" s="373"/>
      <c r="I49" s="373"/>
      <c r="J49" s="373"/>
      <c r="K49" s="373"/>
      <c r="L49" s="373"/>
      <c r="M49" s="373"/>
      <c r="N49" s="373">
        <v>1800</v>
      </c>
      <c r="O49" s="373">
        <v>600</v>
      </c>
      <c r="P49" s="373">
        <v>0</v>
      </c>
      <c r="Q49" s="373">
        <f>P49</f>
        <v>0</v>
      </c>
      <c r="R49" s="373">
        <f t="shared" si="1"/>
        <v>0</v>
      </c>
      <c r="S49" s="373">
        <f t="shared" si="1"/>
        <v>0</v>
      </c>
      <c r="T49" s="374">
        <f t="shared" si="0"/>
        <v>2400</v>
      </c>
      <c r="U49" s="42"/>
    </row>
    <row r="50" spans="1:21" ht="35.1" customHeight="1" x14ac:dyDescent="0.25">
      <c r="A50" s="377"/>
      <c r="B50" s="400"/>
      <c r="C50" s="369"/>
      <c r="D50" s="379" t="s">
        <v>18</v>
      </c>
      <c r="E50" s="379" t="s">
        <v>384</v>
      </c>
      <c r="F50" s="379" t="s">
        <v>438</v>
      </c>
      <c r="G50" s="379" t="s">
        <v>283</v>
      </c>
      <c r="H50" s="373"/>
      <c r="I50" s="373"/>
      <c r="J50" s="373"/>
      <c r="K50" s="373"/>
      <c r="L50" s="373"/>
      <c r="M50" s="373"/>
      <c r="N50" s="373">
        <v>0</v>
      </c>
      <c r="O50" s="373">
        <v>600</v>
      </c>
      <c r="P50" s="373">
        <v>0</v>
      </c>
      <c r="Q50" s="373">
        <v>0</v>
      </c>
      <c r="R50" s="373">
        <f t="shared" si="1"/>
        <v>0</v>
      </c>
      <c r="S50" s="373">
        <f t="shared" si="1"/>
        <v>0</v>
      </c>
      <c r="T50" s="374">
        <f t="shared" si="0"/>
        <v>600</v>
      </c>
      <c r="U50" s="81"/>
    </row>
    <row r="51" spans="1:21" ht="52.9" customHeight="1" x14ac:dyDescent="0.25">
      <c r="A51" s="377" t="s">
        <v>439</v>
      </c>
      <c r="B51" s="68" t="s">
        <v>440</v>
      </c>
      <c r="C51" s="68" t="s">
        <v>17</v>
      </c>
      <c r="D51" s="379" t="s">
        <v>18</v>
      </c>
      <c r="E51" s="379" t="s">
        <v>384</v>
      </c>
      <c r="F51" s="379" t="s">
        <v>441</v>
      </c>
      <c r="G51" s="379" t="s">
        <v>424</v>
      </c>
      <c r="H51" s="373"/>
      <c r="I51" s="373"/>
      <c r="J51" s="373"/>
      <c r="K51" s="373"/>
      <c r="L51" s="373"/>
      <c r="M51" s="373"/>
      <c r="N51" s="373">
        <v>90</v>
      </c>
      <c r="O51" s="373">
        <v>24.6</v>
      </c>
      <c r="P51" s="373">
        <v>0</v>
      </c>
      <c r="Q51" s="373">
        <f>P51</f>
        <v>0</v>
      </c>
      <c r="R51" s="373">
        <f t="shared" si="1"/>
        <v>0</v>
      </c>
      <c r="S51" s="373">
        <f t="shared" si="1"/>
        <v>0</v>
      </c>
      <c r="T51" s="374">
        <f t="shared" si="0"/>
        <v>114.6</v>
      </c>
    </row>
    <row r="52" spans="1:21" ht="61.9" customHeight="1" x14ac:dyDescent="0.25">
      <c r="A52" s="377"/>
      <c r="B52" s="70"/>
      <c r="C52" s="70"/>
      <c r="D52" s="379" t="s">
        <v>18</v>
      </c>
      <c r="E52" s="379" t="s">
        <v>384</v>
      </c>
      <c r="F52" s="379" t="s">
        <v>442</v>
      </c>
      <c r="G52" s="379" t="s">
        <v>281</v>
      </c>
      <c r="H52" s="373"/>
      <c r="I52" s="373"/>
      <c r="J52" s="373"/>
      <c r="K52" s="373"/>
      <c r="L52" s="373"/>
      <c r="M52" s="373"/>
      <c r="N52" s="373">
        <v>0</v>
      </c>
      <c r="O52" s="373">
        <v>0</v>
      </c>
      <c r="P52" s="373">
        <v>0</v>
      </c>
      <c r="Q52" s="373">
        <v>0</v>
      </c>
      <c r="R52" s="373">
        <v>0</v>
      </c>
      <c r="S52" s="373">
        <v>0</v>
      </c>
      <c r="T52" s="374">
        <f t="shared" si="0"/>
        <v>0</v>
      </c>
    </row>
    <row r="53" spans="1:21" ht="61.9" customHeight="1" x14ac:dyDescent="0.25">
      <c r="A53" s="260"/>
      <c r="B53" s="70"/>
      <c r="C53" s="70"/>
      <c r="D53" s="379" t="s">
        <v>18</v>
      </c>
      <c r="E53" s="379" t="s">
        <v>384</v>
      </c>
      <c r="F53" s="379" t="s">
        <v>443</v>
      </c>
      <c r="G53" s="379" t="s">
        <v>281</v>
      </c>
      <c r="H53" s="373"/>
      <c r="I53" s="373"/>
      <c r="J53" s="373"/>
      <c r="K53" s="373"/>
      <c r="L53" s="373"/>
      <c r="M53" s="373"/>
      <c r="N53" s="373">
        <v>0</v>
      </c>
      <c r="O53" s="373">
        <v>0</v>
      </c>
      <c r="P53" s="373">
        <v>0</v>
      </c>
      <c r="Q53" s="373">
        <v>0</v>
      </c>
      <c r="R53" s="373">
        <v>0</v>
      </c>
      <c r="S53" s="373">
        <v>0</v>
      </c>
      <c r="T53" s="374">
        <f t="shared" si="0"/>
        <v>0</v>
      </c>
    </row>
    <row r="54" spans="1:21" ht="61.9" customHeight="1" x14ac:dyDescent="0.25">
      <c r="A54" s="260"/>
      <c r="B54" s="70"/>
      <c r="C54" s="70"/>
      <c r="D54" s="379" t="s">
        <v>18</v>
      </c>
      <c r="E54" s="379" t="s">
        <v>384</v>
      </c>
      <c r="F54" s="379" t="s">
        <v>442</v>
      </c>
      <c r="G54" s="379" t="s">
        <v>283</v>
      </c>
      <c r="H54" s="373"/>
      <c r="I54" s="373"/>
      <c r="J54" s="373"/>
      <c r="K54" s="373"/>
      <c r="L54" s="373"/>
      <c r="M54" s="373"/>
      <c r="N54" s="373">
        <v>0</v>
      </c>
      <c r="O54" s="373">
        <v>0</v>
      </c>
      <c r="P54" s="373">
        <v>0</v>
      </c>
      <c r="Q54" s="373">
        <v>0</v>
      </c>
      <c r="R54" s="373">
        <f t="shared" si="1"/>
        <v>0</v>
      </c>
      <c r="S54" s="373">
        <f t="shared" si="1"/>
        <v>0</v>
      </c>
      <c r="T54" s="374">
        <f t="shared" si="0"/>
        <v>0</v>
      </c>
    </row>
    <row r="55" spans="1:21" ht="61.9" customHeight="1" x14ac:dyDescent="0.25">
      <c r="A55" s="260"/>
      <c r="B55" s="255"/>
      <c r="C55" s="255"/>
      <c r="D55" s="379" t="s">
        <v>18</v>
      </c>
      <c r="E55" s="379" t="s">
        <v>384</v>
      </c>
      <c r="F55" s="379" t="s">
        <v>443</v>
      </c>
      <c r="G55" s="379" t="s">
        <v>283</v>
      </c>
      <c r="H55" s="373"/>
      <c r="I55" s="373"/>
      <c r="J55" s="373"/>
      <c r="K55" s="373"/>
      <c r="L55" s="373"/>
      <c r="M55" s="373"/>
      <c r="N55" s="373">
        <v>0</v>
      </c>
      <c r="O55" s="373">
        <v>0</v>
      </c>
      <c r="P55" s="373">
        <v>0</v>
      </c>
      <c r="Q55" s="373">
        <v>0</v>
      </c>
      <c r="R55" s="373">
        <f t="shared" si="1"/>
        <v>0</v>
      </c>
      <c r="S55" s="373">
        <f t="shared" si="1"/>
        <v>0</v>
      </c>
      <c r="T55" s="374">
        <f t="shared" si="0"/>
        <v>0</v>
      </c>
    </row>
    <row r="56" spans="1:21" ht="73.900000000000006" customHeight="1" x14ac:dyDescent="0.25">
      <c r="A56" s="377" t="s">
        <v>444</v>
      </c>
      <c r="B56" s="401" t="s">
        <v>437</v>
      </c>
      <c r="C56" s="369" t="s">
        <v>17</v>
      </c>
      <c r="D56" s="379" t="s">
        <v>18</v>
      </c>
      <c r="E56" s="379" t="s">
        <v>384</v>
      </c>
      <c r="F56" s="379" t="s">
        <v>442</v>
      </c>
      <c r="G56" s="379" t="s">
        <v>318</v>
      </c>
      <c r="H56" s="373"/>
      <c r="I56" s="373"/>
      <c r="J56" s="373"/>
      <c r="K56" s="373"/>
      <c r="L56" s="373"/>
      <c r="M56" s="373"/>
      <c r="N56" s="373">
        <f>2866.8-57.4</f>
        <v>2809.4</v>
      </c>
      <c r="O56" s="373">
        <v>2713.7</v>
      </c>
      <c r="P56" s="373">
        <v>0</v>
      </c>
      <c r="Q56" s="373">
        <f>P56</f>
        <v>0</v>
      </c>
      <c r="R56" s="373">
        <f t="shared" si="1"/>
        <v>0</v>
      </c>
      <c r="S56" s="373">
        <f t="shared" si="1"/>
        <v>0</v>
      </c>
      <c r="T56" s="374">
        <f t="shared" si="0"/>
        <v>5523.1</v>
      </c>
    </row>
    <row r="57" spans="1:21" ht="78.599999999999994" customHeight="1" x14ac:dyDescent="0.25">
      <c r="A57" s="377"/>
      <c r="B57" s="402" t="s">
        <v>440</v>
      </c>
      <c r="C57" s="369"/>
      <c r="D57" s="379" t="s">
        <v>18</v>
      </c>
      <c r="E57" s="379" t="s">
        <v>384</v>
      </c>
      <c r="F57" s="379" t="s">
        <v>443</v>
      </c>
      <c r="G57" s="379" t="s">
        <v>318</v>
      </c>
      <c r="H57" s="373"/>
      <c r="I57" s="373"/>
      <c r="J57" s="373"/>
      <c r="K57" s="373"/>
      <c r="L57" s="373"/>
      <c r="M57" s="373"/>
      <c r="N57" s="373">
        <v>57.4</v>
      </c>
      <c r="O57" s="373">
        <v>55.4</v>
      </c>
      <c r="P57" s="373">
        <v>0</v>
      </c>
      <c r="Q57" s="373">
        <f>P57</f>
        <v>0</v>
      </c>
      <c r="R57" s="373">
        <f t="shared" si="1"/>
        <v>0</v>
      </c>
      <c r="S57" s="373">
        <f t="shared" si="1"/>
        <v>0</v>
      </c>
      <c r="T57" s="374">
        <f t="shared" si="0"/>
        <v>112.8</v>
      </c>
    </row>
    <row r="58" spans="1:21" ht="78.599999999999994" customHeight="1" x14ac:dyDescent="0.25">
      <c r="A58" s="389" t="s">
        <v>445</v>
      </c>
      <c r="B58" s="402" t="s">
        <v>446</v>
      </c>
      <c r="C58" s="402" t="s">
        <v>17</v>
      </c>
      <c r="D58" s="379" t="s">
        <v>18</v>
      </c>
      <c r="E58" s="379" t="s">
        <v>384</v>
      </c>
      <c r="F58" s="379" t="s">
        <v>447</v>
      </c>
      <c r="G58" s="379" t="s">
        <v>281</v>
      </c>
      <c r="H58" s="373"/>
      <c r="I58" s="373"/>
      <c r="J58" s="373"/>
      <c r="K58" s="373"/>
      <c r="L58" s="373"/>
      <c r="M58" s="373"/>
      <c r="N58" s="373">
        <v>2400</v>
      </c>
      <c r="O58" s="373">
        <v>5500</v>
      </c>
      <c r="P58" s="373">
        <v>0</v>
      </c>
      <c r="Q58" s="373">
        <f>P58</f>
        <v>0</v>
      </c>
      <c r="R58" s="373">
        <f t="shared" si="1"/>
        <v>0</v>
      </c>
      <c r="S58" s="373">
        <f t="shared" si="1"/>
        <v>0</v>
      </c>
      <c r="T58" s="374">
        <f t="shared" si="0"/>
        <v>7900</v>
      </c>
    </row>
    <row r="59" spans="1:21" ht="78.599999999999994" customHeight="1" x14ac:dyDescent="0.25">
      <c r="A59" s="394"/>
      <c r="B59" s="403" t="s">
        <v>448</v>
      </c>
      <c r="C59" s="402" t="s">
        <v>17</v>
      </c>
      <c r="D59" s="379" t="s">
        <v>18</v>
      </c>
      <c r="E59" s="379" t="s">
        <v>384</v>
      </c>
      <c r="F59" s="379" t="s">
        <v>449</v>
      </c>
      <c r="G59" s="379" t="s">
        <v>281</v>
      </c>
      <c r="H59" s="373"/>
      <c r="I59" s="373"/>
      <c r="J59" s="373"/>
      <c r="K59" s="373"/>
      <c r="L59" s="373"/>
      <c r="M59" s="373"/>
      <c r="N59" s="373">
        <v>400</v>
      </c>
      <c r="O59" s="373">
        <v>300</v>
      </c>
      <c r="P59" s="373">
        <v>0</v>
      </c>
      <c r="Q59" s="373">
        <f>P59</f>
        <v>0</v>
      </c>
      <c r="R59" s="373">
        <f t="shared" si="1"/>
        <v>0</v>
      </c>
      <c r="S59" s="373">
        <f t="shared" si="1"/>
        <v>0</v>
      </c>
      <c r="T59" s="374">
        <f t="shared" si="0"/>
        <v>700</v>
      </c>
    </row>
    <row r="60" spans="1:21" ht="78.599999999999994" customHeight="1" x14ac:dyDescent="0.25">
      <c r="A60" s="404" t="s">
        <v>450</v>
      </c>
      <c r="B60" s="402" t="s">
        <v>451</v>
      </c>
      <c r="C60" s="402" t="s">
        <v>17</v>
      </c>
      <c r="D60" s="379" t="s">
        <v>18</v>
      </c>
      <c r="E60" s="379" t="s">
        <v>384</v>
      </c>
      <c r="F60" s="379" t="s">
        <v>398</v>
      </c>
      <c r="G60" s="379" t="s">
        <v>281</v>
      </c>
      <c r="H60" s="373"/>
      <c r="I60" s="373"/>
      <c r="J60" s="373"/>
      <c r="K60" s="373"/>
      <c r="L60" s="373"/>
      <c r="M60" s="373"/>
      <c r="N60" s="373">
        <v>856.3</v>
      </c>
      <c r="O60" s="373">
        <v>0</v>
      </c>
      <c r="P60" s="373">
        <v>0</v>
      </c>
      <c r="Q60" s="373">
        <v>7500</v>
      </c>
      <c r="R60" s="373">
        <v>0</v>
      </c>
      <c r="S60" s="373">
        <f t="shared" si="1"/>
        <v>0</v>
      </c>
      <c r="T60" s="374">
        <f t="shared" si="0"/>
        <v>8356.2999999999993</v>
      </c>
    </row>
    <row r="61" spans="1:21" ht="102.6" customHeight="1" x14ac:dyDescent="0.25">
      <c r="A61" s="404" t="s">
        <v>452</v>
      </c>
      <c r="B61" s="402" t="s">
        <v>453</v>
      </c>
      <c r="C61" s="402" t="s">
        <v>17</v>
      </c>
      <c r="D61" s="379" t="s">
        <v>18</v>
      </c>
      <c r="E61" s="379" t="s">
        <v>384</v>
      </c>
      <c r="F61" s="379" t="s">
        <v>400</v>
      </c>
      <c r="G61" s="379" t="s">
        <v>281</v>
      </c>
      <c r="H61" s="373"/>
      <c r="I61" s="373"/>
      <c r="J61" s="373"/>
      <c r="K61" s="373"/>
      <c r="L61" s="373"/>
      <c r="M61" s="373"/>
      <c r="N61" s="373">
        <v>95.1</v>
      </c>
      <c r="O61" s="373">
        <v>0</v>
      </c>
      <c r="P61" s="373">
        <v>0</v>
      </c>
      <c r="Q61" s="373">
        <v>1021</v>
      </c>
      <c r="R61" s="373">
        <v>0</v>
      </c>
      <c r="S61" s="373">
        <f t="shared" si="1"/>
        <v>0</v>
      </c>
      <c r="T61" s="374">
        <f t="shared" si="0"/>
        <v>1116.0999999999999</v>
      </c>
    </row>
    <row r="62" spans="1:21" ht="102.6" customHeight="1" x14ac:dyDescent="0.25">
      <c r="A62" s="404"/>
      <c r="B62" s="402" t="s">
        <v>454</v>
      </c>
      <c r="C62" s="402" t="s">
        <v>17</v>
      </c>
      <c r="D62" s="379" t="s">
        <v>18</v>
      </c>
      <c r="E62" s="379" t="s">
        <v>384</v>
      </c>
      <c r="F62" s="379" t="s">
        <v>455</v>
      </c>
      <c r="G62" s="379" t="s">
        <v>281</v>
      </c>
      <c r="H62" s="373"/>
      <c r="I62" s="373"/>
      <c r="J62" s="373"/>
      <c r="K62" s="373"/>
      <c r="L62" s="373"/>
      <c r="M62" s="373"/>
      <c r="N62" s="373"/>
      <c r="O62" s="373"/>
      <c r="P62" s="373"/>
      <c r="Q62" s="373">
        <v>160</v>
      </c>
      <c r="R62" s="373">
        <v>0</v>
      </c>
      <c r="S62" s="373">
        <v>0</v>
      </c>
      <c r="T62" s="374">
        <f t="shared" si="0"/>
        <v>160</v>
      </c>
    </row>
    <row r="63" spans="1:21" ht="102.6" customHeight="1" x14ac:dyDescent="0.25">
      <c r="A63" s="404" t="s">
        <v>456</v>
      </c>
      <c r="B63" s="403" t="s">
        <v>457</v>
      </c>
      <c r="C63" s="402" t="s">
        <v>17</v>
      </c>
      <c r="D63" s="379" t="s">
        <v>18</v>
      </c>
      <c r="E63" s="379" t="s">
        <v>384</v>
      </c>
      <c r="F63" s="379" t="s">
        <v>458</v>
      </c>
      <c r="G63" s="379" t="s">
        <v>424</v>
      </c>
      <c r="H63" s="373"/>
      <c r="I63" s="373"/>
      <c r="J63" s="373"/>
      <c r="K63" s="373"/>
      <c r="L63" s="373"/>
      <c r="M63" s="373"/>
      <c r="N63" s="373">
        <v>2398.5</v>
      </c>
      <c r="O63" s="373">
        <v>531</v>
      </c>
      <c r="P63" s="373">
        <v>1088.8</v>
      </c>
      <c r="Q63" s="373">
        <v>0</v>
      </c>
      <c r="R63" s="373">
        <f t="shared" si="1"/>
        <v>0</v>
      </c>
      <c r="S63" s="373">
        <f t="shared" si="1"/>
        <v>0</v>
      </c>
      <c r="T63" s="374">
        <f t="shared" si="0"/>
        <v>4018.3</v>
      </c>
    </row>
    <row r="64" spans="1:21" ht="35.1" customHeight="1" x14ac:dyDescent="0.25">
      <c r="A64" s="405" t="s">
        <v>344</v>
      </c>
      <c r="B64" s="405"/>
      <c r="C64" s="402"/>
      <c r="D64" s="406"/>
      <c r="E64" s="406"/>
      <c r="F64" s="406"/>
      <c r="G64" s="406"/>
      <c r="H64" s="407">
        <f t="shared" ref="H64:M64" si="4">SUM(H7:H44)</f>
        <v>10161.199999999999</v>
      </c>
      <c r="I64" s="407">
        <f t="shared" si="4"/>
        <v>13094</v>
      </c>
      <c r="J64" s="407">
        <f t="shared" si="4"/>
        <v>13027.6</v>
      </c>
      <c r="K64" s="407">
        <f t="shared" si="4"/>
        <v>17311.7</v>
      </c>
      <c r="L64" s="407">
        <f t="shared" si="4"/>
        <v>20666.900000000001</v>
      </c>
      <c r="M64" s="407">
        <f t="shared" si="4"/>
        <v>26856.300000000003</v>
      </c>
      <c r="N64" s="407">
        <f>SUM(N7:N63)</f>
        <v>27723.600000000002</v>
      </c>
      <c r="O64" s="407">
        <f>SUM(O7:O63)</f>
        <v>44252.599999999991</v>
      </c>
      <c r="P64" s="407">
        <f>SUM(P7:P63)</f>
        <v>49186.5</v>
      </c>
      <c r="Q64" s="407">
        <f>SUM(Q7:Q63)</f>
        <v>47872.799999999996</v>
      </c>
      <c r="R64" s="373">
        <f t="shared" si="1"/>
        <v>47872.799999999996</v>
      </c>
      <c r="S64" s="373">
        <f t="shared" si="1"/>
        <v>47872.799999999996</v>
      </c>
      <c r="T64" s="374">
        <f t="shared" si="0"/>
        <v>365898.8</v>
      </c>
      <c r="U64" s="408"/>
    </row>
    <row r="65" spans="1:21" ht="33" customHeight="1" x14ac:dyDescent="0.25">
      <c r="A65" s="282" t="s">
        <v>459</v>
      </c>
      <c r="B65" s="282"/>
      <c r="C65" s="282"/>
      <c r="D65" s="282"/>
      <c r="E65" s="282"/>
      <c r="F65" s="282"/>
      <c r="G65" s="282"/>
      <c r="H65" s="282"/>
      <c r="I65" s="282"/>
      <c r="J65" s="282"/>
      <c r="K65" s="282"/>
      <c r="L65" s="282"/>
      <c r="M65" s="282"/>
      <c r="N65" s="282"/>
      <c r="O65" s="282"/>
      <c r="P65" s="282"/>
      <c r="Q65" s="282"/>
      <c r="R65" s="282"/>
      <c r="S65" s="282"/>
      <c r="T65" s="282"/>
      <c r="U65" s="282"/>
    </row>
    <row r="66" spans="1:21" ht="35.1" customHeight="1" x14ac:dyDescent="0.25">
      <c r="A66" s="409" t="s">
        <v>146</v>
      </c>
      <c r="B66" s="398" t="s">
        <v>460</v>
      </c>
      <c r="C66" s="369" t="s">
        <v>17</v>
      </c>
      <c r="D66" s="371" t="s">
        <v>18</v>
      </c>
      <c r="E66" s="385" t="s">
        <v>384</v>
      </c>
      <c r="F66" s="379" t="s">
        <v>389</v>
      </c>
      <c r="G66" s="385">
        <v>110</v>
      </c>
      <c r="H66" s="373">
        <v>13238</v>
      </c>
      <c r="I66" s="373">
        <v>13739.9</v>
      </c>
      <c r="J66" s="373">
        <v>12713.2</v>
      </c>
      <c r="K66" s="373">
        <v>12251.6</v>
      </c>
      <c r="L66" s="373">
        <v>11621.6</v>
      </c>
      <c r="M66" s="373">
        <v>6639.3</v>
      </c>
      <c r="N66" s="373">
        <v>0</v>
      </c>
      <c r="O66" s="373">
        <v>0</v>
      </c>
      <c r="P66" s="373">
        <v>0</v>
      </c>
      <c r="Q66" s="373">
        <f>P66</f>
        <v>0</v>
      </c>
      <c r="R66" s="373">
        <f>Q66</f>
        <v>0</v>
      </c>
      <c r="S66" s="373">
        <f>R66</f>
        <v>0</v>
      </c>
      <c r="T66" s="374">
        <f>SUM(H66:S66)</f>
        <v>70203.600000000006</v>
      </c>
      <c r="U66" s="34" t="s">
        <v>461</v>
      </c>
    </row>
    <row r="67" spans="1:21" ht="35.1" customHeight="1" x14ac:dyDescent="0.25">
      <c r="A67" s="409"/>
      <c r="B67" s="398"/>
      <c r="C67" s="369"/>
      <c r="D67" s="371" t="s">
        <v>18</v>
      </c>
      <c r="E67" s="385" t="s">
        <v>384</v>
      </c>
      <c r="F67" s="379" t="s">
        <v>389</v>
      </c>
      <c r="G67" s="385">
        <v>240</v>
      </c>
      <c r="H67" s="373">
        <f>6496+150</f>
        <v>6646</v>
      </c>
      <c r="I67" s="373">
        <f>7475.8+89.9</f>
        <v>7565.7</v>
      </c>
      <c r="J67" s="373">
        <v>8087.8</v>
      </c>
      <c r="K67" s="373">
        <v>7359.7</v>
      </c>
      <c r="L67" s="373">
        <f>7456-L10</f>
        <v>6843.8</v>
      </c>
      <c r="M67" s="373">
        <v>3610.3</v>
      </c>
      <c r="N67" s="373">
        <v>0</v>
      </c>
      <c r="O67" s="373">
        <v>0</v>
      </c>
      <c r="P67" s="373">
        <v>0</v>
      </c>
      <c r="Q67" s="373">
        <f t="shared" ref="Q67:S126" si="5">P67</f>
        <v>0</v>
      </c>
      <c r="R67" s="373">
        <f t="shared" si="5"/>
        <v>0</v>
      </c>
      <c r="S67" s="373">
        <f t="shared" si="5"/>
        <v>0</v>
      </c>
      <c r="T67" s="374">
        <f t="shared" ref="T67:T127" si="6">SUM(H67:S67)</f>
        <v>40113.300000000003</v>
      </c>
      <c r="U67" s="34"/>
    </row>
    <row r="68" spans="1:21" ht="35.1" customHeight="1" x14ac:dyDescent="0.25">
      <c r="A68" s="409"/>
      <c r="B68" s="398"/>
      <c r="C68" s="369"/>
      <c r="D68" s="371" t="s">
        <v>18</v>
      </c>
      <c r="E68" s="385" t="s">
        <v>384</v>
      </c>
      <c r="F68" s="379" t="s">
        <v>389</v>
      </c>
      <c r="G68" s="385">
        <v>611</v>
      </c>
      <c r="H68" s="373">
        <v>36650.199999999997</v>
      </c>
      <c r="I68" s="373">
        <v>39146.800000000003</v>
      </c>
      <c r="J68" s="373">
        <v>21385.4</v>
      </c>
      <c r="K68" s="373">
        <v>20376.5</v>
      </c>
      <c r="L68" s="373">
        <v>21744.3</v>
      </c>
      <c r="M68" s="373">
        <v>21733.1</v>
      </c>
      <c r="N68" s="373">
        <v>22651.4</v>
      </c>
      <c r="O68" s="373">
        <v>4848.2</v>
      </c>
      <c r="P68" s="373">
        <v>4928.8999999999996</v>
      </c>
      <c r="Q68" s="380">
        <v>4835.5</v>
      </c>
      <c r="R68" s="373">
        <v>4375.8999999999996</v>
      </c>
      <c r="S68" s="373">
        <v>4375.8999999999996</v>
      </c>
      <c r="T68" s="374">
        <f t="shared" si="6"/>
        <v>207052.09999999998</v>
      </c>
      <c r="U68" s="34"/>
    </row>
    <row r="69" spans="1:21" ht="35.1" customHeight="1" x14ac:dyDescent="0.25">
      <c r="A69" s="409"/>
      <c r="B69" s="398"/>
      <c r="C69" s="369"/>
      <c r="D69" s="371" t="s">
        <v>18</v>
      </c>
      <c r="E69" s="385" t="s">
        <v>384</v>
      </c>
      <c r="F69" s="379" t="s">
        <v>462</v>
      </c>
      <c r="G69" s="385">
        <v>611</v>
      </c>
      <c r="H69" s="373"/>
      <c r="I69" s="373"/>
      <c r="J69" s="373"/>
      <c r="K69" s="373"/>
      <c r="L69" s="373"/>
      <c r="M69" s="373"/>
      <c r="N69" s="373"/>
      <c r="O69" s="373">
        <v>11734.5</v>
      </c>
      <c r="P69" s="373">
        <v>12244</v>
      </c>
      <c r="Q69" s="373">
        <v>12246.7</v>
      </c>
      <c r="R69" s="373">
        <v>12225.7</v>
      </c>
      <c r="S69" s="373">
        <v>12225.7</v>
      </c>
      <c r="T69" s="374">
        <f t="shared" si="6"/>
        <v>60676.599999999991</v>
      </c>
      <c r="U69" s="34"/>
    </row>
    <row r="70" spans="1:21" ht="35.1" customHeight="1" x14ac:dyDescent="0.25">
      <c r="A70" s="409"/>
      <c r="B70" s="398"/>
      <c r="C70" s="369"/>
      <c r="D70" s="371" t="s">
        <v>18</v>
      </c>
      <c r="E70" s="385" t="s">
        <v>384</v>
      </c>
      <c r="F70" s="379" t="s">
        <v>463</v>
      </c>
      <c r="G70" s="385">
        <v>611</v>
      </c>
      <c r="H70" s="373"/>
      <c r="I70" s="373"/>
      <c r="J70" s="373"/>
      <c r="K70" s="373"/>
      <c r="L70" s="373"/>
      <c r="M70" s="373"/>
      <c r="N70" s="373"/>
      <c r="O70" s="373">
        <v>24874.6</v>
      </c>
      <c r="P70" s="373">
        <f>25719.6+557.2+190</f>
        <v>26466.799999999999</v>
      </c>
      <c r="Q70" s="373">
        <f>27924.8+1246</f>
        <v>29170.799999999999</v>
      </c>
      <c r="R70" s="373">
        <v>27924.799999999999</v>
      </c>
      <c r="S70" s="373">
        <v>27924.799999999999</v>
      </c>
      <c r="T70" s="374">
        <f t="shared" si="6"/>
        <v>136361.79999999999</v>
      </c>
      <c r="U70" s="34"/>
    </row>
    <row r="71" spans="1:21" ht="35.1" customHeight="1" x14ac:dyDescent="0.25">
      <c r="A71" s="409"/>
      <c r="B71" s="398"/>
      <c r="C71" s="369"/>
      <c r="D71" s="371" t="s">
        <v>18</v>
      </c>
      <c r="E71" s="385" t="s">
        <v>384</v>
      </c>
      <c r="F71" s="379" t="s">
        <v>463</v>
      </c>
      <c r="G71" s="385">
        <v>870</v>
      </c>
      <c r="H71" s="373"/>
      <c r="I71" s="373"/>
      <c r="J71" s="373"/>
      <c r="K71" s="373"/>
      <c r="L71" s="373"/>
      <c r="M71" s="373"/>
      <c r="N71" s="373"/>
      <c r="O71" s="373">
        <v>0</v>
      </c>
      <c r="P71" s="373">
        <v>0</v>
      </c>
      <c r="Q71" s="373">
        <v>726.1</v>
      </c>
      <c r="R71" s="373">
        <v>751.1</v>
      </c>
      <c r="S71" s="373">
        <v>751.1</v>
      </c>
      <c r="T71" s="374">
        <f t="shared" si="6"/>
        <v>2228.3000000000002</v>
      </c>
      <c r="U71" s="34"/>
    </row>
    <row r="72" spans="1:21" s="58" customFormat="1" ht="35.1" customHeight="1" x14ac:dyDescent="0.25">
      <c r="A72" s="409"/>
      <c r="B72" s="398"/>
      <c r="C72" s="369"/>
      <c r="D72" s="371" t="s">
        <v>18</v>
      </c>
      <c r="E72" s="385" t="s">
        <v>384</v>
      </c>
      <c r="F72" s="379" t="s">
        <v>389</v>
      </c>
      <c r="G72" s="385">
        <v>870</v>
      </c>
      <c r="H72" s="373"/>
      <c r="I72" s="373"/>
      <c r="J72" s="373"/>
      <c r="K72" s="373"/>
      <c r="L72" s="373"/>
      <c r="M72" s="373"/>
      <c r="N72" s="373"/>
      <c r="O72" s="373">
        <v>0</v>
      </c>
      <c r="P72" s="373">
        <v>0</v>
      </c>
      <c r="Q72" s="380">
        <v>1467.3</v>
      </c>
      <c r="R72" s="373">
        <v>2092.1</v>
      </c>
      <c r="S72" s="373">
        <v>2092.1</v>
      </c>
      <c r="T72" s="374">
        <f>SUM(H72:S72)</f>
        <v>5651.5</v>
      </c>
      <c r="U72" s="34"/>
    </row>
    <row r="73" spans="1:21" ht="35.1" customHeight="1" x14ac:dyDescent="0.25">
      <c r="A73" s="409"/>
      <c r="B73" s="398"/>
      <c r="C73" s="369"/>
      <c r="D73" s="371">
        <v>975</v>
      </c>
      <c r="E73" s="379" t="s">
        <v>384</v>
      </c>
      <c r="F73" s="379" t="s">
        <v>389</v>
      </c>
      <c r="G73" s="385">
        <v>612</v>
      </c>
      <c r="H73" s="373">
        <v>68.5</v>
      </c>
      <c r="I73" s="373"/>
      <c r="J73" s="373">
        <v>0</v>
      </c>
      <c r="K73" s="373"/>
      <c r="L73" s="373"/>
      <c r="M73" s="373"/>
      <c r="N73" s="373"/>
      <c r="O73" s="373">
        <v>0</v>
      </c>
      <c r="P73" s="373">
        <f>O73</f>
        <v>0</v>
      </c>
      <c r="Q73" s="373">
        <f t="shared" si="5"/>
        <v>0</v>
      </c>
      <c r="R73" s="373">
        <f t="shared" si="5"/>
        <v>0</v>
      </c>
      <c r="S73" s="373">
        <f t="shared" si="5"/>
        <v>0</v>
      </c>
      <c r="T73" s="374">
        <f t="shared" si="6"/>
        <v>68.5</v>
      </c>
      <c r="U73" s="34"/>
    </row>
    <row r="74" spans="1:21" ht="35.1" customHeight="1" x14ac:dyDescent="0.25">
      <c r="A74" s="409"/>
      <c r="B74" s="398"/>
      <c r="C74" s="369"/>
      <c r="D74" s="371" t="s">
        <v>18</v>
      </c>
      <c r="E74" s="385" t="s">
        <v>384</v>
      </c>
      <c r="F74" s="379" t="s">
        <v>389</v>
      </c>
      <c r="G74" s="385">
        <v>621</v>
      </c>
      <c r="H74" s="373">
        <v>16861.8</v>
      </c>
      <c r="I74" s="373">
        <v>17529.8</v>
      </c>
      <c r="J74" s="373">
        <v>8899.2000000000007</v>
      </c>
      <c r="K74" s="373">
        <v>8641.4</v>
      </c>
      <c r="L74" s="373">
        <v>9217.1</v>
      </c>
      <c r="M74" s="373">
        <v>9882.6</v>
      </c>
      <c r="N74" s="373">
        <v>10200.799999999999</v>
      </c>
      <c r="O74" s="373">
        <v>2076.1999999999998</v>
      </c>
      <c r="P74" s="373">
        <f>1723+395.1</f>
        <v>2118.1</v>
      </c>
      <c r="Q74" s="380">
        <v>1796.6</v>
      </c>
      <c r="R74" s="373">
        <v>1726.6</v>
      </c>
      <c r="S74" s="373">
        <f t="shared" si="5"/>
        <v>1726.6</v>
      </c>
      <c r="T74" s="374">
        <f t="shared" si="6"/>
        <v>90676.800000000032</v>
      </c>
      <c r="U74" s="34"/>
    </row>
    <row r="75" spans="1:21" ht="35.1" customHeight="1" x14ac:dyDescent="0.25">
      <c r="A75" s="409"/>
      <c r="B75" s="398"/>
      <c r="C75" s="369"/>
      <c r="D75" s="371" t="s">
        <v>18</v>
      </c>
      <c r="E75" s="385" t="s">
        <v>384</v>
      </c>
      <c r="F75" s="379" t="s">
        <v>462</v>
      </c>
      <c r="G75" s="385">
        <v>621</v>
      </c>
      <c r="H75" s="373"/>
      <c r="I75" s="373"/>
      <c r="J75" s="373"/>
      <c r="K75" s="373"/>
      <c r="L75" s="373"/>
      <c r="M75" s="373"/>
      <c r="N75" s="373"/>
      <c r="O75" s="373">
        <v>4537.8999999999996</v>
      </c>
      <c r="P75" s="373">
        <v>4431.6000000000004</v>
      </c>
      <c r="Q75" s="373">
        <v>5305.4</v>
      </c>
      <c r="R75" s="373">
        <v>5305.4</v>
      </c>
      <c r="S75" s="373">
        <f t="shared" si="5"/>
        <v>5305.4</v>
      </c>
      <c r="T75" s="374">
        <f t="shared" si="6"/>
        <v>24885.699999999997</v>
      </c>
      <c r="U75" s="34"/>
    </row>
    <row r="76" spans="1:21" ht="35.1" customHeight="1" x14ac:dyDescent="0.25">
      <c r="A76" s="409"/>
      <c r="B76" s="398"/>
      <c r="C76" s="369"/>
      <c r="D76" s="371" t="s">
        <v>18</v>
      </c>
      <c r="E76" s="385" t="s">
        <v>384</v>
      </c>
      <c r="F76" s="379" t="s">
        <v>463</v>
      </c>
      <c r="G76" s="385">
        <v>621</v>
      </c>
      <c r="H76" s="373"/>
      <c r="I76" s="373"/>
      <c r="J76" s="373"/>
      <c r="K76" s="373"/>
      <c r="L76" s="373"/>
      <c r="M76" s="373"/>
      <c r="N76" s="373"/>
      <c r="O76" s="373">
        <v>5641.2</v>
      </c>
      <c r="P76" s="373">
        <f>5941.5+350</f>
        <v>6291.5</v>
      </c>
      <c r="Q76" s="373">
        <f>6208.3+252.8</f>
        <v>6461.1</v>
      </c>
      <c r="R76" s="373">
        <v>6208.3</v>
      </c>
      <c r="S76" s="373">
        <f t="shared" si="5"/>
        <v>6208.3</v>
      </c>
      <c r="T76" s="374">
        <f t="shared" si="6"/>
        <v>30810.400000000001</v>
      </c>
      <c r="U76" s="34"/>
    </row>
    <row r="77" spans="1:21" ht="35.1" customHeight="1" x14ac:dyDescent="0.25">
      <c r="A77" s="409"/>
      <c r="B77" s="398"/>
      <c r="C77" s="369"/>
      <c r="D77" s="371">
        <v>975</v>
      </c>
      <c r="E77" s="379" t="s">
        <v>384</v>
      </c>
      <c r="F77" s="379" t="s">
        <v>389</v>
      </c>
      <c r="G77" s="385">
        <v>622</v>
      </c>
      <c r="H77" s="373">
        <v>150</v>
      </c>
      <c r="I77" s="373"/>
      <c r="J77" s="373"/>
      <c r="K77" s="373"/>
      <c r="L77" s="373"/>
      <c r="M77" s="373"/>
      <c r="N77" s="373"/>
      <c r="O77" s="373"/>
      <c r="P77" s="373">
        <f>O77</f>
        <v>0</v>
      </c>
      <c r="Q77" s="373">
        <f t="shared" si="5"/>
        <v>0</v>
      </c>
      <c r="R77" s="373">
        <f t="shared" si="5"/>
        <v>0</v>
      </c>
      <c r="S77" s="373">
        <f t="shared" si="5"/>
        <v>0</v>
      </c>
      <c r="T77" s="374">
        <f t="shared" si="6"/>
        <v>150</v>
      </c>
      <c r="U77" s="34"/>
    </row>
    <row r="78" spans="1:21" ht="35.1" customHeight="1" x14ac:dyDescent="0.25">
      <c r="A78" s="409"/>
      <c r="B78" s="398"/>
      <c r="C78" s="369"/>
      <c r="D78" s="371">
        <v>975</v>
      </c>
      <c r="E78" s="379" t="s">
        <v>384</v>
      </c>
      <c r="F78" s="379" t="s">
        <v>389</v>
      </c>
      <c r="G78" s="385">
        <v>850</v>
      </c>
      <c r="H78" s="373">
        <v>26.5</v>
      </c>
      <c r="I78" s="373">
        <v>121.1</v>
      </c>
      <c r="J78" s="373">
        <v>14.2</v>
      </c>
      <c r="K78" s="373">
        <v>12.5</v>
      </c>
      <c r="L78" s="373">
        <v>136.1</v>
      </c>
      <c r="M78" s="373">
        <v>8.9</v>
      </c>
      <c r="N78" s="373">
        <v>0</v>
      </c>
      <c r="O78" s="373">
        <v>0</v>
      </c>
      <c r="P78" s="373">
        <v>0</v>
      </c>
      <c r="Q78" s="373">
        <f t="shared" si="5"/>
        <v>0</v>
      </c>
      <c r="R78" s="373">
        <f t="shared" si="5"/>
        <v>0</v>
      </c>
      <c r="S78" s="373">
        <f t="shared" si="5"/>
        <v>0</v>
      </c>
      <c r="T78" s="374">
        <f t="shared" si="6"/>
        <v>319.29999999999995</v>
      </c>
      <c r="U78" s="34"/>
    </row>
    <row r="79" spans="1:21" ht="35.1" customHeight="1" x14ac:dyDescent="0.25">
      <c r="A79" s="409"/>
      <c r="B79" s="398"/>
      <c r="C79" s="369"/>
      <c r="D79" s="371" t="s">
        <v>18</v>
      </c>
      <c r="E79" s="385" t="s">
        <v>384</v>
      </c>
      <c r="F79" s="379" t="s">
        <v>464</v>
      </c>
      <c r="G79" s="385">
        <v>110</v>
      </c>
      <c r="H79" s="373">
        <v>671.1</v>
      </c>
      <c r="I79" s="373">
        <v>882.4</v>
      </c>
      <c r="J79" s="373">
        <v>1697.2</v>
      </c>
      <c r="K79" s="373">
        <f>1447.3+437.1</f>
        <v>1884.4</v>
      </c>
      <c r="L79" s="373">
        <v>2298.1</v>
      </c>
      <c r="M79" s="373">
        <v>1906.9</v>
      </c>
      <c r="N79" s="373">
        <v>0</v>
      </c>
      <c r="O79" s="373">
        <v>0</v>
      </c>
      <c r="P79" s="373">
        <v>0</v>
      </c>
      <c r="Q79" s="373">
        <f t="shared" si="5"/>
        <v>0</v>
      </c>
      <c r="R79" s="373">
        <f t="shared" si="5"/>
        <v>0</v>
      </c>
      <c r="S79" s="373">
        <f t="shared" si="5"/>
        <v>0</v>
      </c>
      <c r="T79" s="374">
        <f t="shared" si="6"/>
        <v>9340.1</v>
      </c>
      <c r="U79" s="34"/>
    </row>
    <row r="80" spans="1:21" ht="35.1" customHeight="1" x14ac:dyDescent="0.25">
      <c r="A80" s="409"/>
      <c r="B80" s="398"/>
      <c r="C80" s="369"/>
      <c r="D80" s="371" t="s">
        <v>18</v>
      </c>
      <c r="E80" s="385" t="s">
        <v>384</v>
      </c>
      <c r="F80" s="379" t="s">
        <v>464</v>
      </c>
      <c r="G80" s="385">
        <v>611</v>
      </c>
      <c r="H80" s="373">
        <v>1841.5</v>
      </c>
      <c r="I80" s="373">
        <v>2844</v>
      </c>
      <c r="J80" s="373">
        <v>7162.7</v>
      </c>
      <c r="K80" s="373">
        <v>5652.6</v>
      </c>
      <c r="L80" s="373">
        <v>9203</v>
      </c>
      <c r="M80" s="373">
        <v>14852.2</v>
      </c>
      <c r="N80" s="373">
        <v>12395.1</v>
      </c>
      <c r="O80" s="373">
        <v>0</v>
      </c>
      <c r="P80" s="373">
        <v>0</v>
      </c>
      <c r="Q80" s="373">
        <f t="shared" si="5"/>
        <v>0</v>
      </c>
      <c r="R80" s="373">
        <f t="shared" si="5"/>
        <v>0</v>
      </c>
      <c r="S80" s="373">
        <f t="shared" si="5"/>
        <v>0</v>
      </c>
      <c r="T80" s="374">
        <f t="shared" si="6"/>
        <v>53951.1</v>
      </c>
      <c r="U80" s="34"/>
    </row>
    <row r="81" spans="1:21" ht="35.1" customHeight="1" x14ac:dyDescent="0.25">
      <c r="A81" s="409"/>
      <c r="B81" s="398"/>
      <c r="C81" s="369"/>
      <c r="D81" s="371">
        <v>975</v>
      </c>
      <c r="E81" s="379" t="s">
        <v>384</v>
      </c>
      <c r="F81" s="379" t="s">
        <v>464</v>
      </c>
      <c r="G81" s="385">
        <v>621</v>
      </c>
      <c r="H81" s="373"/>
      <c r="I81" s="373">
        <v>34.200000000000003</v>
      </c>
      <c r="J81" s="373">
        <v>65.400000000000006</v>
      </c>
      <c r="K81" s="373">
        <v>91.9</v>
      </c>
      <c r="L81" s="373">
        <v>172.8</v>
      </c>
      <c r="M81" s="373">
        <v>155.4</v>
      </c>
      <c r="N81" s="373">
        <v>179.7</v>
      </c>
      <c r="O81" s="373">
        <v>0</v>
      </c>
      <c r="P81" s="373">
        <v>0</v>
      </c>
      <c r="Q81" s="373">
        <f t="shared" si="5"/>
        <v>0</v>
      </c>
      <c r="R81" s="373">
        <f t="shared" si="5"/>
        <v>0</v>
      </c>
      <c r="S81" s="373">
        <f t="shared" si="5"/>
        <v>0</v>
      </c>
      <c r="T81" s="374">
        <f t="shared" si="6"/>
        <v>699.40000000000009</v>
      </c>
      <c r="U81" s="34"/>
    </row>
    <row r="82" spans="1:21" ht="35.1" customHeight="1" x14ac:dyDescent="0.25">
      <c r="A82" s="409"/>
      <c r="B82" s="398"/>
      <c r="C82" s="369"/>
      <c r="D82" s="371" t="s">
        <v>18</v>
      </c>
      <c r="E82" s="385" t="s">
        <v>384</v>
      </c>
      <c r="F82" s="379" t="s">
        <v>465</v>
      </c>
      <c r="G82" s="385">
        <v>611</v>
      </c>
      <c r="H82" s="373">
        <v>946.6</v>
      </c>
      <c r="I82" s="373">
        <v>1533.9</v>
      </c>
      <c r="J82" s="373"/>
      <c r="K82" s="373"/>
      <c r="L82" s="373"/>
      <c r="M82" s="373"/>
      <c r="N82" s="373"/>
      <c r="O82" s="373"/>
      <c r="P82" s="373">
        <f t="shared" ref="P82:P88" si="7">O82</f>
        <v>0</v>
      </c>
      <c r="Q82" s="373">
        <f t="shared" si="5"/>
        <v>0</v>
      </c>
      <c r="R82" s="373">
        <f t="shared" si="5"/>
        <v>0</v>
      </c>
      <c r="S82" s="373">
        <f t="shared" si="5"/>
        <v>0</v>
      </c>
      <c r="T82" s="374">
        <f t="shared" si="6"/>
        <v>2480.5</v>
      </c>
      <c r="U82" s="34"/>
    </row>
    <row r="83" spans="1:21" ht="35.1" customHeight="1" x14ac:dyDescent="0.25">
      <c r="A83" s="409"/>
      <c r="B83" s="398"/>
      <c r="C83" s="369"/>
      <c r="D83" s="371" t="s">
        <v>18</v>
      </c>
      <c r="E83" s="385" t="s">
        <v>384</v>
      </c>
      <c r="F83" s="379" t="s">
        <v>466</v>
      </c>
      <c r="G83" s="385">
        <v>110</v>
      </c>
      <c r="H83" s="373">
        <v>17</v>
      </c>
      <c r="I83" s="373"/>
      <c r="J83" s="373"/>
      <c r="K83" s="373"/>
      <c r="L83" s="373"/>
      <c r="M83" s="373"/>
      <c r="N83" s="373"/>
      <c r="O83" s="373"/>
      <c r="P83" s="373">
        <f t="shared" si="7"/>
        <v>0</v>
      </c>
      <c r="Q83" s="373">
        <f t="shared" si="5"/>
        <v>0</v>
      </c>
      <c r="R83" s="373">
        <f t="shared" si="5"/>
        <v>0</v>
      </c>
      <c r="S83" s="373">
        <f t="shared" si="5"/>
        <v>0</v>
      </c>
      <c r="T83" s="374">
        <f t="shared" si="6"/>
        <v>17</v>
      </c>
      <c r="U83" s="34"/>
    </row>
    <row r="84" spans="1:21" ht="35.1" customHeight="1" x14ac:dyDescent="0.25">
      <c r="A84" s="409"/>
      <c r="B84" s="398"/>
      <c r="C84" s="369"/>
      <c r="D84" s="371" t="s">
        <v>18</v>
      </c>
      <c r="E84" s="385" t="s">
        <v>384</v>
      </c>
      <c r="F84" s="379" t="s">
        <v>466</v>
      </c>
      <c r="G84" s="385">
        <v>611</v>
      </c>
      <c r="H84" s="373">
        <v>20.7</v>
      </c>
      <c r="I84" s="373"/>
      <c r="J84" s="373"/>
      <c r="K84" s="373"/>
      <c r="L84" s="373"/>
      <c r="M84" s="373"/>
      <c r="N84" s="373"/>
      <c r="O84" s="373"/>
      <c r="P84" s="373">
        <f t="shared" si="7"/>
        <v>0</v>
      </c>
      <c r="Q84" s="373">
        <f t="shared" si="5"/>
        <v>0</v>
      </c>
      <c r="R84" s="373">
        <f t="shared" si="5"/>
        <v>0</v>
      </c>
      <c r="S84" s="373">
        <f t="shared" si="5"/>
        <v>0</v>
      </c>
      <c r="T84" s="374">
        <f t="shared" si="6"/>
        <v>20.7</v>
      </c>
      <c r="U84" s="34"/>
    </row>
    <row r="85" spans="1:21" ht="35.1" hidden="1" customHeight="1" x14ac:dyDescent="0.25">
      <c r="A85" s="409"/>
      <c r="B85" s="398"/>
      <c r="C85" s="369"/>
      <c r="D85" s="371" t="s">
        <v>18</v>
      </c>
      <c r="E85" s="385" t="s">
        <v>384</v>
      </c>
      <c r="F85" s="379" t="s">
        <v>466</v>
      </c>
      <c r="G85" s="385">
        <v>621</v>
      </c>
      <c r="H85" s="373">
        <v>0</v>
      </c>
      <c r="I85" s="373"/>
      <c r="J85" s="373"/>
      <c r="K85" s="373"/>
      <c r="L85" s="373"/>
      <c r="M85" s="373"/>
      <c r="N85" s="373"/>
      <c r="O85" s="373"/>
      <c r="P85" s="373">
        <f t="shared" si="7"/>
        <v>0</v>
      </c>
      <c r="Q85" s="373">
        <f t="shared" si="5"/>
        <v>0</v>
      </c>
      <c r="R85" s="373">
        <f t="shared" si="5"/>
        <v>0</v>
      </c>
      <c r="S85" s="373">
        <f t="shared" si="5"/>
        <v>0</v>
      </c>
      <c r="T85" s="374">
        <f t="shared" si="6"/>
        <v>0</v>
      </c>
      <c r="U85" s="34"/>
    </row>
    <row r="86" spans="1:21" ht="35.1" hidden="1" customHeight="1" x14ac:dyDescent="0.25">
      <c r="A86" s="409"/>
      <c r="B86" s="398"/>
      <c r="C86" s="369"/>
      <c r="D86" s="371">
        <v>975</v>
      </c>
      <c r="E86" s="379" t="s">
        <v>384</v>
      </c>
      <c r="F86" s="379" t="s">
        <v>467</v>
      </c>
      <c r="G86" s="385">
        <v>611</v>
      </c>
      <c r="H86" s="373"/>
      <c r="I86" s="373"/>
      <c r="J86" s="373">
        <v>0</v>
      </c>
      <c r="K86" s="373"/>
      <c r="L86" s="373"/>
      <c r="M86" s="373"/>
      <c r="N86" s="373"/>
      <c r="O86" s="373"/>
      <c r="P86" s="373">
        <f t="shared" si="7"/>
        <v>0</v>
      </c>
      <c r="Q86" s="373">
        <f t="shared" si="5"/>
        <v>0</v>
      </c>
      <c r="R86" s="373">
        <f t="shared" si="5"/>
        <v>0</v>
      </c>
      <c r="S86" s="373">
        <f t="shared" si="5"/>
        <v>0</v>
      </c>
      <c r="T86" s="374">
        <f t="shared" si="6"/>
        <v>0</v>
      </c>
      <c r="U86" s="34"/>
    </row>
    <row r="87" spans="1:21" ht="35.1" customHeight="1" x14ac:dyDescent="0.25">
      <c r="A87" s="409"/>
      <c r="B87" s="398"/>
      <c r="C87" s="369"/>
      <c r="D87" s="371">
        <v>975</v>
      </c>
      <c r="E87" s="379" t="s">
        <v>384</v>
      </c>
      <c r="F87" s="379" t="s">
        <v>468</v>
      </c>
      <c r="G87" s="385">
        <v>611</v>
      </c>
      <c r="H87" s="373"/>
      <c r="I87" s="373"/>
      <c r="J87" s="373">
        <v>69.8</v>
      </c>
      <c r="K87" s="373"/>
      <c r="L87" s="373"/>
      <c r="M87" s="373"/>
      <c r="N87" s="373"/>
      <c r="O87" s="373"/>
      <c r="P87" s="373">
        <f t="shared" si="7"/>
        <v>0</v>
      </c>
      <c r="Q87" s="373">
        <f t="shared" si="5"/>
        <v>0</v>
      </c>
      <c r="R87" s="373">
        <f t="shared" si="5"/>
        <v>0</v>
      </c>
      <c r="S87" s="373">
        <f t="shared" si="5"/>
        <v>0</v>
      </c>
      <c r="T87" s="374">
        <f t="shared" si="6"/>
        <v>69.8</v>
      </c>
      <c r="U87" s="34"/>
    </row>
    <row r="88" spans="1:21" ht="35.1" customHeight="1" x14ac:dyDescent="0.25">
      <c r="A88" s="409"/>
      <c r="B88" s="398"/>
      <c r="C88" s="369"/>
      <c r="D88" s="371">
        <v>975</v>
      </c>
      <c r="E88" s="379" t="s">
        <v>384</v>
      </c>
      <c r="F88" s="379" t="s">
        <v>469</v>
      </c>
      <c r="G88" s="385">
        <v>611</v>
      </c>
      <c r="H88" s="373">
        <v>50.1</v>
      </c>
      <c r="I88" s="373">
        <v>30</v>
      </c>
      <c r="J88" s="373"/>
      <c r="K88" s="373"/>
      <c r="L88" s="373"/>
      <c r="M88" s="373"/>
      <c r="N88" s="373"/>
      <c r="O88" s="373"/>
      <c r="P88" s="373">
        <f t="shared" si="7"/>
        <v>0</v>
      </c>
      <c r="Q88" s="373">
        <f t="shared" si="5"/>
        <v>0</v>
      </c>
      <c r="R88" s="373">
        <f t="shared" si="5"/>
        <v>0</v>
      </c>
      <c r="S88" s="373">
        <f t="shared" si="5"/>
        <v>0</v>
      </c>
      <c r="T88" s="374">
        <f t="shared" si="6"/>
        <v>80.099999999999994</v>
      </c>
      <c r="U88" s="34"/>
    </row>
    <row r="89" spans="1:21" ht="35.1" customHeight="1" x14ac:dyDescent="0.25">
      <c r="A89" s="291"/>
      <c r="B89" s="378" t="s">
        <v>470</v>
      </c>
      <c r="C89" s="371"/>
      <c r="D89" s="371">
        <v>975</v>
      </c>
      <c r="E89" s="379" t="s">
        <v>384</v>
      </c>
      <c r="F89" s="379" t="s">
        <v>471</v>
      </c>
      <c r="G89" s="385">
        <v>611</v>
      </c>
      <c r="H89" s="373"/>
      <c r="I89" s="373"/>
      <c r="J89" s="373"/>
      <c r="K89" s="373"/>
      <c r="L89" s="373"/>
      <c r="M89" s="373"/>
      <c r="N89" s="373">
        <v>3984.1</v>
      </c>
      <c r="O89" s="373">
        <v>11751.3</v>
      </c>
      <c r="P89" s="373">
        <v>12074.7</v>
      </c>
      <c r="Q89" s="373">
        <v>12538.2</v>
      </c>
      <c r="R89" s="373">
        <v>12538.2</v>
      </c>
      <c r="S89" s="373">
        <v>12538.2</v>
      </c>
      <c r="T89" s="374">
        <f t="shared" si="6"/>
        <v>65424.7</v>
      </c>
      <c r="U89" s="34"/>
    </row>
    <row r="90" spans="1:21" ht="35.1" customHeight="1" x14ac:dyDescent="0.25">
      <c r="A90" s="291"/>
      <c r="B90" s="382"/>
      <c r="C90" s="371"/>
      <c r="D90" s="371">
        <v>975</v>
      </c>
      <c r="E90" s="379" t="s">
        <v>384</v>
      </c>
      <c r="F90" s="379" t="s">
        <v>471</v>
      </c>
      <c r="G90" s="385">
        <v>621</v>
      </c>
      <c r="H90" s="373"/>
      <c r="I90" s="373"/>
      <c r="J90" s="373"/>
      <c r="K90" s="373"/>
      <c r="L90" s="373"/>
      <c r="M90" s="373"/>
      <c r="N90" s="373">
        <v>1210.9000000000001</v>
      </c>
      <c r="O90" s="373">
        <v>3632.6</v>
      </c>
      <c r="P90" s="373">
        <v>3632.6</v>
      </c>
      <c r="Q90" s="373">
        <v>3632.6</v>
      </c>
      <c r="R90" s="373">
        <v>3632.6</v>
      </c>
      <c r="S90" s="373">
        <v>3632.6</v>
      </c>
      <c r="T90" s="374">
        <f t="shared" si="6"/>
        <v>19373.900000000001</v>
      </c>
      <c r="U90" s="34"/>
    </row>
    <row r="91" spans="1:21" ht="35.1" customHeight="1" x14ac:dyDescent="0.25">
      <c r="A91" s="291"/>
      <c r="B91" s="384"/>
      <c r="C91" s="371"/>
      <c r="D91" s="371">
        <v>975</v>
      </c>
      <c r="E91" s="379" t="s">
        <v>384</v>
      </c>
      <c r="F91" s="379" t="s">
        <v>471</v>
      </c>
      <c r="G91" s="385">
        <v>870</v>
      </c>
      <c r="H91" s="373"/>
      <c r="I91" s="373"/>
      <c r="J91" s="373"/>
      <c r="K91" s="373"/>
      <c r="L91" s="373"/>
      <c r="M91" s="373"/>
      <c r="N91" s="373">
        <v>0</v>
      </c>
      <c r="O91" s="373">
        <v>0</v>
      </c>
      <c r="P91" s="373">
        <v>0</v>
      </c>
      <c r="Q91" s="373">
        <v>0</v>
      </c>
      <c r="R91" s="373">
        <v>0</v>
      </c>
      <c r="S91" s="373">
        <v>0</v>
      </c>
      <c r="T91" s="374">
        <f t="shared" si="6"/>
        <v>0</v>
      </c>
      <c r="U91" s="34"/>
    </row>
    <row r="92" spans="1:21" ht="35.1" customHeight="1" x14ac:dyDescent="0.25">
      <c r="A92" s="409" t="s">
        <v>148</v>
      </c>
      <c r="B92" s="398" t="s">
        <v>472</v>
      </c>
      <c r="C92" s="369"/>
      <c r="D92" s="371">
        <v>975</v>
      </c>
      <c r="E92" s="379" t="s">
        <v>384</v>
      </c>
      <c r="F92" s="379" t="s">
        <v>473</v>
      </c>
      <c r="G92" s="410" t="s">
        <v>474</v>
      </c>
      <c r="H92" s="373">
        <v>2069.1</v>
      </c>
      <c r="I92" s="373">
        <v>2048.5</v>
      </c>
      <c r="J92" s="373">
        <v>2159.8000000000002</v>
      </c>
      <c r="K92" s="373">
        <f>1921.59+580.31</f>
        <v>2501.8999999999996</v>
      </c>
      <c r="L92" s="373">
        <v>2453.9</v>
      </c>
      <c r="M92" s="373">
        <f>1245.3+32</f>
        <v>1277.3</v>
      </c>
      <c r="N92" s="373">
        <v>0</v>
      </c>
      <c r="O92" s="373">
        <v>0</v>
      </c>
      <c r="P92" s="373">
        <v>0</v>
      </c>
      <c r="Q92" s="373">
        <f t="shared" si="5"/>
        <v>0</v>
      </c>
      <c r="R92" s="373">
        <f t="shared" si="5"/>
        <v>0</v>
      </c>
      <c r="S92" s="373">
        <f t="shared" si="5"/>
        <v>0</v>
      </c>
      <c r="T92" s="374">
        <f t="shared" si="6"/>
        <v>12510.499999999998</v>
      </c>
      <c r="U92" s="34"/>
    </row>
    <row r="93" spans="1:21" ht="35.1" customHeight="1" x14ac:dyDescent="0.25">
      <c r="A93" s="409"/>
      <c r="B93" s="398"/>
      <c r="C93" s="369"/>
      <c r="D93" s="371">
        <v>975</v>
      </c>
      <c r="E93" s="379" t="s">
        <v>384</v>
      </c>
      <c r="F93" s="379" t="s">
        <v>473</v>
      </c>
      <c r="G93" s="385">
        <v>244</v>
      </c>
      <c r="H93" s="373">
        <v>48</v>
      </c>
      <c r="I93" s="373">
        <v>49.5</v>
      </c>
      <c r="J93" s="373">
        <v>152</v>
      </c>
      <c r="K93" s="373">
        <v>194.7</v>
      </c>
      <c r="L93" s="373">
        <v>150.69999999999999</v>
      </c>
      <c r="M93" s="373">
        <v>117.6</v>
      </c>
      <c r="N93" s="373">
        <v>0</v>
      </c>
      <c r="O93" s="373">
        <v>0</v>
      </c>
      <c r="P93" s="373">
        <v>0</v>
      </c>
      <c r="Q93" s="373">
        <f t="shared" si="5"/>
        <v>0</v>
      </c>
      <c r="R93" s="373">
        <f t="shared" si="5"/>
        <v>0</v>
      </c>
      <c r="S93" s="373">
        <f t="shared" si="5"/>
        <v>0</v>
      </c>
      <c r="T93" s="374">
        <f t="shared" si="6"/>
        <v>712.5</v>
      </c>
      <c r="U93" s="34"/>
    </row>
    <row r="94" spans="1:21" ht="35.1" customHeight="1" x14ac:dyDescent="0.25">
      <c r="A94" s="409"/>
      <c r="B94" s="398"/>
      <c r="C94" s="369"/>
      <c r="D94" s="371">
        <v>975</v>
      </c>
      <c r="E94" s="379" t="s">
        <v>384</v>
      </c>
      <c r="F94" s="379" t="s">
        <v>473</v>
      </c>
      <c r="G94" s="385">
        <v>611</v>
      </c>
      <c r="H94" s="373">
        <v>69419.8</v>
      </c>
      <c r="I94" s="373">
        <v>74727.600000000006</v>
      </c>
      <c r="J94" s="373">
        <v>75371.399999999994</v>
      </c>
      <c r="K94" s="373">
        <v>82441.7</v>
      </c>
      <c r="L94" s="373">
        <v>87113.3</v>
      </c>
      <c r="M94" s="373">
        <v>84914.7</v>
      </c>
      <c r="N94" s="373">
        <v>94080.1</v>
      </c>
      <c r="O94" s="373">
        <v>104322.2</v>
      </c>
      <c r="P94" s="373">
        <v>122057</v>
      </c>
      <c r="Q94" s="380">
        <v>134328.5</v>
      </c>
      <c r="R94" s="373">
        <v>123677.6</v>
      </c>
      <c r="S94" s="373">
        <f t="shared" si="5"/>
        <v>123677.6</v>
      </c>
      <c r="T94" s="374">
        <f t="shared" si="6"/>
        <v>1176131.5</v>
      </c>
      <c r="U94" s="34"/>
    </row>
    <row r="95" spans="1:21" ht="35.1" customHeight="1" x14ac:dyDescent="0.25">
      <c r="A95" s="409"/>
      <c r="B95" s="398"/>
      <c r="C95" s="369"/>
      <c r="D95" s="371">
        <v>975</v>
      </c>
      <c r="E95" s="379" t="s">
        <v>475</v>
      </c>
      <c r="F95" s="379" t="s">
        <v>473</v>
      </c>
      <c r="G95" s="385">
        <v>611</v>
      </c>
      <c r="H95" s="373"/>
      <c r="I95" s="373"/>
      <c r="J95" s="373"/>
      <c r="K95" s="373"/>
      <c r="L95" s="373"/>
      <c r="M95" s="373">
        <v>10565.4</v>
      </c>
      <c r="N95" s="373">
        <v>11184.2</v>
      </c>
      <c r="O95" s="373">
        <v>14948</v>
      </c>
      <c r="P95" s="373">
        <v>22482.7</v>
      </c>
      <c r="Q95" s="380">
        <v>23522.6</v>
      </c>
      <c r="R95" s="373">
        <v>21121.3</v>
      </c>
      <c r="S95" s="373">
        <v>21121.3</v>
      </c>
      <c r="T95" s="374">
        <f t="shared" si="6"/>
        <v>124945.5</v>
      </c>
      <c r="U95" s="34"/>
    </row>
    <row r="96" spans="1:21" ht="35.1" customHeight="1" x14ac:dyDescent="0.25">
      <c r="A96" s="409"/>
      <c r="B96" s="398"/>
      <c r="C96" s="369"/>
      <c r="D96" s="371">
        <v>975</v>
      </c>
      <c r="E96" s="379" t="s">
        <v>384</v>
      </c>
      <c r="F96" s="379" t="s">
        <v>473</v>
      </c>
      <c r="G96" s="385">
        <v>612</v>
      </c>
      <c r="H96" s="373">
        <v>1060.3</v>
      </c>
      <c r="I96" s="373">
        <v>685.7</v>
      </c>
      <c r="J96" s="373">
        <v>3330.5</v>
      </c>
      <c r="K96" s="373">
        <v>4576</v>
      </c>
      <c r="L96" s="373">
        <v>4798.1000000000004</v>
      </c>
      <c r="M96" s="373">
        <v>4598.3999999999996</v>
      </c>
      <c r="N96" s="373">
        <v>0</v>
      </c>
      <c r="O96" s="373">
        <v>0</v>
      </c>
      <c r="P96" s="373">
        <v>0</v>
      </c>
      <c r="Q96" s="373">
        <f t="shared" si="5"/>
        <v>0</v>
      </c>
      <c r="R96" s="373">
        <f t="shared" si="5"/>
        <v>0</v>
      </c>
      <c r="S96" s="373">
        <f t="shared" si="5"/>
        <v>0</v>
      </c>
      <c r="T96" s="374">
        <f t="shared" si="6"/>
        <v>19049</v>
      </c>
      <c r="U96" s="34"/>
    </row>
    <row r="97" spans="1:22" ht="35.1" customHeight="1" x14ac:dyDescent="0.25">
      <c r="A97" s="409"/>
      <c r="B97" s="398"/>
      <c r="C97" s="369"/>
      <c r="D97" s="371">
        <v>975</v>
      </c>
      <c r="E97" s="379" t="s">
        <v>384</v>
      </c>
      <c r="F97" s="379" t="s">
        <v>473</v>
      </c>
      <c r="G97" s="385">
        <v>621</v>
      </c>
      <c r="H97" s="373">
        <v>28912.7</v>
      </c>
      <c r="I97" s="373">
        <v>29234.2</v>
      </c>
      <c r="J97" s="373">
        <v>29412</v>
      </c>
      <c r="K97" s="373">
        <v>31346.1</v>
      </c>
      <c r="L97" s="373">
        <v>32415.7</v>
      </c>
      <c r="M97" s="373">
        <v>31196.1</v>
      </c>
      <c r="N97" s="373">
        <v>32462.1</v>
      </c>
      <c r="O97" s="373">
        <v>34726.699999999997</v>
      </c>
      <c r="P97" s="373">
        <v>38826.5</v>
      </c>
      <c r="Q97" s="380">
        <v>39861.1</v>
      </c>
      <c r="R97" s="373">
        <v>36544.9</v>
      </c>
      <c r="S97" s="373">
        <f t="shared" si="5"/>
        <v>36544.9</v>
      </c>
      <c r="T97" s="374">
        <f t="shared" si="6"/>
        <v>401483.00000000006</v>
      </c>
      <c r="U97" s="34"/>
      <c r="V97" s="191"/>
    </row>
    <row r="98" spans="1:22" ht="35.1" customHeight="1" x14ac:dyDescent="0.25">
      <c r="A98" s="409"/>
      <c r="B98" s="398"/>
      <c r="C98" s="369"/>
      <c r="D98" s="371">
        <v>975</v>
      </c>
      <c r="E98" s="379" t="s">
        <v>475</v>
      </c>
      <c r="F98" s="379" t="s">
        <v>473</v>
      </c>
      <c r="G98" s="385">
        <v>621</v>
      </c>
      <c r="H98" s="373"/>
      <c r="I98" s="373"/>
      <c r="J98" s="373"/>
      <c r="K98" s="373"/>
      <c r="L98" s="373"/>
      <c r="M98" s="373">
        <v>4913.8</v>
      </c>
      <c r="N98" s="373">
        <v>4838.5</v>
      </c>
      <c r="O98" s="373">
        <v>6476.8</v>
      </c>
      <c r="P98" s="373">
        <v>10542.1</v>
      </c>
      <c r="Q98" s="380">
        <v>11950.2</v>
      </c>
      <c r="R98" s="373">
        <v>10816.3</v>
      </c>
      <c r="S98" s="373">
        <f t="shared" si="5"/>
        <v>10816.3</v>
      </c>
      <c r="T98" s="374">
        <f t="shared" si="6"/>
        <v>60354</v>
      </c>
      <c r="U98" s="34"/>
    </row>
    <row r="99" spans="1:22" ht="35.1" customHeight="1" x14ac:dyDescent="0.25">
      <c r="A99" s="409"/>
      <c r="B99" s="398"/>
      <c r="C99" s="369"/>
      <c r="D99" s="371">
        <v>975</v>
      </c>
      <c r="E99" s="379" t="s">
        <v>384</v>
      </c>
      <c r="F99" s="379" t="s">
        <v>473</v>
      </c>
      <c r="G99" s="385">
        <v>622</v>
      </c>
      <c r="H99" s="373">
        <v>348.3</v>
      </c>
      <c r="I99" s="373">
        <v>360.9</v>
      </c>
      <c r="J99" s="373">
        <v>1248.9000000000001</v>
      </c>
      <c r="K99" s="373">
        <v>1661.6</v>
      </c>
      <c r="L99" s="373">
        <v>1917.9</v>
      </c>
      <c r="M99" s="373">
        <v>1604.6</v>
      </c>
      <c r="N99" s="373">
        <v>0</v>
      </c>
      <c r="O99" s="373">
        <v>0</v>
      </c>
      <c r="P99" s="373">
        <v>0</v>
      </c>
      <c r="Q99" s="373">
        <f t="shared" si="5"/>
        <v>0</v>
      </c>
      <c r="R99" s="373">
        <f t="shared" si="5"/>
        <v>0</v>
      </c>
      <c r="S99" s="373">
        <f t="shared" si="5"/>
        <v>0</v>
      </c>
      <c r="T99" s="374">
        <f t="shared" si="6"/>
        <v>7142.2000000000007</v>
      </c>
      <c r="U99" s="34"/>
    </row>
    <row r="100" spans="1:22" ht="35.1" customHeight="1" x14ac:dyDescent="0.25">
      <c r="A100" s="409"/>
      <c r="B100" s="398"/>
      <c r="C100" s="369"/>
      <c r="D100" s="371">
        <v>975</v>
      </c>
      <c r="E100" s="379" t="s">
        <v>384</v>
      </c>
      <c r="F100" s="379" t="s">
        <v>473</v>
      </c>
      <c r="G100" s="385">
        <v>870</v>
      </c>
      <c r="H100" s="373"/>
      <c r="I100" s="373"/>
      <c r="J100" s="373"/>
      <c r="K100" s="373">
        <v>1355.7</v>
      </c>
      <c r="L100" s="373"/>
      <c r="M100" s="373"/>
      <c r="N100" s="373"/>
      <c r="O100" s="373">
        <v>15.7</v>
      </c>
      <c r="P100" s="373">
        <v>0</v>
      </c>
      <c r="Q100" s="373">
        <v>0</v>
      </c>
      <c r="R100" s="373">
        <v>0</v>
      </c>
      <c r="S100" s="373">
        <f t="shared" si="5"/>
        <v>0</v>
      </c>
      <c r="T100" s="374">
        <f t="shared" si="6"/>
        <v>1371.4</v>
      </c>
      <c r="U100" s="34"/>
    </row>
    <row r="101" spans="1:22" ht="35.1" customHeight="1" x14ac:dyDescent="0.25">
      <c r="A101" s="409"/>
      <c r="B101" s="398"/>
      <c r="C101" s="369"/>
      <c r="D101" s="371">
        <v>975</v>
      </c>
      <c r="E101" s="379" t="s">
        <v>384</v>
      </c>
      <c r="F101" s="379" t="s">
        <v>476</v>
      </c>
      <c r="G101" s="385">
        <v>110</v>
      </c>
      <c r="H101" s="373">
        <v>19.7</v>
      </c>
      <c r="I101" s="373"/>
      <c r="J101" s="373"/>
      <c r="K101" s="373"/>
      <c r="L101" s="373"/>
      <c r="M101" s="373"/>
      <c r="N101" s="373"/>
      <c r="O101" s="373"/>
      <c r="P101" s="373">
        <f>O101</f>
        <v>0</v>
      </c>
      <c r="Q101" s="373">
        <f t="shared" si="5"/>
        <v>0</v>
      </c>
      <c r="R101" s="373">
        <f t="shared" si="5"/>
        <v>0</v>
      </c>
      <c r="S101" s="373">
        <f t="shared" si="5"/>
        <v>0</v>
      </c>
      <c r="T101" s="374">
        <f t="shared" si="6"/>
        <v>19.7</v>
      </c>
      <c r="U101" s="34"/>
    </row>
    <row r="102" spans="1:22" ht="35.1" customHeight="1" x14ac:dyDescent="0.25">
      <c r="A102" s="409"/>
      <c r="B102" s="398"/>
      <c r="C102" s="369"/>
      <c r="D102" s="371">
        <v>975</v>
      </c>
      <c r="E102" s="379" t="s">
        <v>384</v>
      </c>
      <c r="F102" s="379" t="s">
        <v>477</v>
      </c>
      <c r="G102" s="385">
        <v>110</v>
      </c>
      <c r="H102" s="373"/>
      <c r="I102" s="373"/>
      <c r="J102" s="373">
        <v>911.7</v>
      </c>
      <c r="K102" s="373">
        <v>908.9</v>
      </c>
      <c r="L102" s="373">
        <f>724.5+218.8</f>
        <v>943.3</v>
      </c>
      <c r="M102" s="373">
        <v>456.8</v>
      </c>
      <c r="N102" s="373">
        <v>0</v>
      </c>
      <c r="O102" s="373">
        <v>0</v>
      </c>
      <c r="P102" s="373">
        <v>0</v>
      </c>
      <c r="Q102" s="373">
        <f t="shared" si="5"/>
        <v>0</v>
      </c>
      <c r="R102" s="373">
        <f t="shared" si="5"/>
        <v>0</v>
      </c>
      <c r="S102" s="373">
        <f t="shared" si="5"/>
        <v>0</v>
      </c>
      <c r="T102" s="374">
        <f t="shared" si="6"/>
        <v>3220.7</v>
      </c>
      <c r="U102" s="34"/>
    </row>
    <row r="103" spans="1:22" ht="35.1" customHeight="1" x14ac:dyDescent="0.25">
      <c r="A103" s="409"/>
      <c r="B103" s="398"/>
      <c r="C103" s="369"/>
      <c r="D103" s="371">
        <v>975</v>
      </c>
      <c r="E103" s="379" t="s">
        <v>384</v>
      </c>
      <c r="F103" s="379" t="s">
        <v>477</v>
      </c>
      <c r="G103" s="385">
        <v>240</v>
      </c>
      <c r="H103" s="373"/>
      <c r="I103" s="373"/>
      <c r="J103" s="373">
        <v>17.5</v>
      </c>
      <c r="K103" s="373">
        <v>20.2</v>
      </c>
      <c r="L103" s="373">
        <v>20.2</v>
      </c>
      <c r="M103" s="373">
        <v>13.9</v>
      </c>
      <c r="N103" s="373">
        <v>0</v>
      </c>
      <c r="O103" s="373">
        <v>0</v>
      </c>
      <c r="P103" s="373">
        <v>0</v>
      </c>
      <c r="Q103" s="373">
        <f t="shared" si="5"/>
        <v>0</v>
      </c>
      <c r="R103" s="373">
        <f t="shared" si="5"/>
        <v>0</v>
      </c>
      <c r="S103" s="373">
        <f t="shared" si="5"/>
        <v>0</v>
      </c>
      <c r="T103" s="374">
        <f t="shared" si="6"/>
        <v>71.800000000000011</v>
      </c>
      <c r="U103" s="34"/>
    </row>
    <row r="104" spans="1:22" ht="35.1" customHeight="1" x14ac:dyDescent="0.25">
      <c r="A104" s="409"/>
      <c r="B104" s="398"/>
      <c r="C104" s="369"/>
      <c r="D104" s="371">
        <v>975</v>
      </c>
      <c r="E104" s="379" t="s">
        <v>384</v>
      </c>
      <c r="F104" s="379" t="s">
        <v>477</v>
      </c>
      <c r="G104" s="385">
        <v>611</v>
      </c>
      <c r="H104" s="373"/>
      <c r="I104" s="373"/>
      <c r="J104" s="373">
        <v>19514.400000000001</v>
      </c>
      <c r="K104" s="373">
        <v>19413.400000000001</v>
      </c>
      <c r="L104" s="373">
        <v>20229.8</v>
      </c>
      <c r="M104" s="373">
        <v>22664.400000000001</v>
      </c>
      <c r="N104" s="373">
        <v>26332.400000000001</v>
      </c>
      <c r="O104" s="373">
        <v>27805.3</v>
      </c>
      <c r="P104" s="373">
        <v>32383.9</v>
      </c>
      <c r="Q104" s="380">
        <v>38002</v>
      </c>
      <c r="R104" s="380">
        <v>35710.6</v>
      </c>
      <c r="S104" s="380">
        <v>35710.6</v>
      </c>
      <c r="T104" s="374">
        <f t="shared" si="6"/>
        <v>277766.8</v>
      </c>
      <c r="U104" s="34"/>
    </row>
    <row r="105" spans="1:22" ht="35.1" customHeight="1" x14ac:dyDescent="0.25">
      <c r="A105" s="409"/>
      <c r="B105" s="398"/>
      <c r="C105" s="369"/>
      <c r="D105" s="371">
        <v>975</v>
      </c>
      <c r="E105" s="379" t="s">
        <v>384</v>
      </c>
      <c r="F105" s="379" t="s">
        <v>477</v>
      </c>
      <c r="G105" s="385">
        <v>612</v>
      </c>
      <c r="H105" s="373"/>
      <c r="I105" s="373"/>
      <c r="J105" s="373"/>
      <c r="K105" s="373">
        <v>119</v>
      </c>
      <c r="L105" s="373">
        <v>113</v>
      </c>
      <c r="M105" s="373">
        <v>118</v>
      </c>
      <c r="N105" s="373">
        <v>0</v>
      </c>
      <c r="O105" s="373">
        <v>0</v>
      </c>
      <c r="P105" s="373">
        <v>0</v>
      </c>
      <c r="Q105" s="373">
        <f t="shared" si="5"/>
        <v>0</v>
      </c>
      <c r="R105" s="373">
        <f t="shared" si="5"/>
        <v>0</v>
      </c>
      <c r="S105" s="373">
        <f t="shared" si="5"/>
        <v>0</v>
      </c>
      <c r="T105" s="374">
        <f t="shared" si="6"/>
        <v>350</v>
      </c>
      <c r="U105" s="34"/>
    </row>
    <row r="106" spans="1:22" ht="35.1" customHeight="1" x14ac:dyDescent="0.25">
      <c r="A106" s="409"/>
      <c r="B106" s="398"/>
      <c r="C106" s="369"/>
      <c r="D106" s="371">
        <v>975</v>
      </c>
      <c r="E106" s="379" t="s">
        <v>384</v>
      </c>
      <c r="F106" s="379" t="s">
        <v>477</v>
      </c>
      <c r="G106" s="385">
        <v>621</v>
      </c>
      <c r="H106" s="373"/>
      <c r="I106" s="373"/>
      <c r="J106" s="373">
        <v>9019.2000000000007</v>
      </c>
      <c r="K106" s="373">
        <v>9035.1</v>
      </c>
      <c r="L106" s="373">
        <v>9369.2999999999993</v>
      </c>
      <c r="M106" s="373">
        <v>7901</v>
      </c>
      <c r="N106" s="373">
        <v>8696.1</v>
      </c>
      <c r="O106" s="373">
        <v>9064.7999999999993</v>
      </c>
      <c r="P106" s="373">
        <f>9348.2+846.5</f>
        <v>10194.700000000001</v>
      </c>
      <c r="Q106" s="380">
        <v>11834.3</v>
      </c>
      <c r="R106" s="380">
        <v>9732.7999999999993</v>
      </c>
      <c r="S106" s="380">
        <v>9732.7999999999993</v>
      </c>
      <c r="T106" s="374">
        <f t="shared" si="6"/>
        <v>94580.1</v>
      </c>
      <c r="U106" s="34"/>
    </row>
    <row r="107" spans="1:22" ht="52.15" customHeight="1" x14ac:dyDescent="0.25">
      <c r="A107" s="409"/>
      <c r="B107" s="398"/>
      <c r="C107" s="369"/>
      <c r="D107" s="371">
        <v>975</v>
      </c>
      <c r="E107" s="379" t="s">
        <v>384</v>
      </c>
      <c r="F107" s="379" t="s">
        <v>478</v>
      </c>
      <c r="G107" s="385">
        <v>621</v>
      </c>
      <c r="H107" s="373"/>
      <c r="I107" s="373"/>
      <c r="J107" s="373"/>
      <c r="K107" s="373"/>
      <c r="L107" s="373">
        <v>162.80000000000001</v>
      </c>
      <c r="M107" s="373">
        <v>48.8</v>
      </c>
      <c r="N107" s="373">
        <v>2.8</v>
      </c>
      <c r="O107" s="373">
        <v>0</v>
      </c>
      <c r="P107" s="373">
        <v>60.8</v>
      </c>
      <c r="Q107" s="373">
        <v>0</v>
      </c>
      <c r="R107" s="373">
        <f t="shared" si="5"/>
        <v>0</v>
      </c>
      <c r="S107" s="373">
        <f t="shared" si="5"/>
        <v>0</v>
      </c>
      <c r="T107" s="374">
        <f t="shared" si="6"/>
        <v>275.20000000000005</v>
      </c>
      <c r="U107" s="34"/>
    </row>
    <row r="108" spans="1:22" ht="60.6" customHeight="1" x14ac:dyDescent="0.25">
      <c r="A108" s="409"/>
      <c r="B108" s="398"/>
      <c r="C108" s="369"/>
      <c r="D108" s="371">
        <v>975</v>
      </c>
      <c r="E108" s="379" t="s">
        <v>384</v>
      </c>
      <c r="F108" s="379" t="s">
        <v>479</v>
      </c>
      <c r="G108" s="385">
        <v>611</v>
      </c>
      <c r="H108" s="373"/>
      <c r="I108" s="373"/>
      <c r="J108" s="373"/>
      <c r="K108" s="373"/>
      <c r="L108" s="373">
        <v>329.3</v>
      </c>
      <c r="M108" s="373">
        <v>15</v>
      </c>
      <c r="N108" s="373">
        <v>1834.2</v>
      </c>
      <c r="O108" s="373">
        <v>0</v>
      </c>
      <c r="P108" s="373">
        <v>1409.5</v>
      </c>
      <c r="Q108" s="373">
        <v>0</v>
      </c>
      <c r="R108" s="373">
        <f t="shared" si="5"/>
        <v>0</v>
      </c>
      <c r="S108" s="373">
        <f t="shared" si="5"/>
        <v>0</v>
      </c>
      <c r="T108" s="374">
        <f t="shared" si="6"/>
        <v>3588</v>
      </c>
      <c r="U108" s="34"/>
    </row>
    <row r="109" spans="1:22" ht="35.1" customHeight="1" x14ac:dyDescent="0.25">
      <c r="A109" s="409"/>
      <c r="B109" s="398"/>
      <c r="C109" s="369"/>
      <c r="D109" s="371">
        <v>975</v>
      </c>
      <c r="E109" s="379" t="s">
        <v>384</v>
      </c>
      <c r="F109" s="379" t="s">
        <v>480</v>
      </c>
      <c r="G109" s="385">
        <v>611</v>
      </c>
      <c r="H109" s="373"/>
      <c r="I109" s="373"/>
      <c r="J109" s="373"/>
      <c r="K109" s="373"/>
      <c r="L109" s="373"/>
      <c r="M109" s="373">
        <v>116.5</v>
      </c>
      <c r="N109" s="373"/>
      <c r="O109" s="373"/>
      <c r="P109" s="373"/>
      <c r="Q109" s="373">
        <f t="shared" si="5"/>
        <v>0</v>
      </c>
      <c r="R109" s="373">
        <f t="shared" si="5"/>
        <v>0</v>
      </c>
      <c r="S109" s="373">
        <f t="shared" si="5"/>
        <v>0</v>
      </c>
      <c r="T109" s="374">
        <f t="shared" si="6"/>
        <v>116.5</v>
      </c>
      <c r="U109" s="34"/>
    </row>
    <row r="110" spans="1:22" ht="35.1" customHeight="1" x14ac:dyDescent="0.25">
      <c r="A110" s="409"/>
      <c r="B110" s="398"/>
      <c r="C110" s="369"/>
      <c r="D110" s="371">
        <v>975</v>
      </c>
      <c r="E110" s="379" t="s">
        <v>384</v>
      </c>
      <c r="F110" s="379" t="s">
        <v>480</v>
      </c>
      <c r="G110" s="385">
        <v>621</v>
      </c>
      <c r="H110" s="373"/>
      <c r="I110" s="373"/>
      <c r="J110" s="373"/>
      <c r="K110" s="373"/>
      <c r="L110" s="373"/>
      <c r="M110" s="373">
        <v>3.6</v>
      </c>
      <c r="N110" s="373"/>
      <c r="O110" s="373"/>
      <c r="P110" s="373"/>
      <c r="Q110" s="373">
        <f t="shared" si="5"/>
        <v>0</v>
      </c>
      <c r="R110" s="373">
        <f t="shared" si="5"/>
        <v>0</v>
      </c>
      <c r="S110" s="373">
        <f t="shared" si="5"/>
        <v>0</v>
      </c>
      <c r="T110" s="374">
        <f t="shared" si="6"/>
        <v>3.6</v>
      </c>
      <c r="U110" s="34"/>
    </row>
    <row r="111" spans="1:22" ht="35.1" customHeight="1" x14ac:dyDescent="0.25">
      <c r="A111" s="409"/>
      <c r="B111" s="398"/>
      <c r="C111" s="369"/>
      <c r="D111" s="371">
        <v>975</v>
      </c>
      <c r="E111" s="379" t="s">
        <v>384</v>
      </c>
      <c r="F111" s="379" t="s">
        <v>481</v>
      </c>
      <c r="G111" s="385">
        <v>611</v>
      </c>
      <c r="H111" s="373"/>
      <c r="I111" s="373"/>
      <c r="J111" s="373"/>
      <c r="K111" s="373"/>
      <c r="L111" s="373"/>
      <c r="M111" s="373"/>
      <c r="N111" s="373">
        <v>73.400000000000006</v>
      </c>
      <c r="O111" s="373"/>
      <c r="P111" s="373"/>
      <c r="Q111" s="373">
        <f t="shared" si="5"/>
        <v>0</v>
      </c>
      <c r="R111" s="373">
        <f t="shared" si="5"/>
        <v>0</v>
      </c>
      <c r="S111" s="373">
        <f t="shared" si="5"/>
        <v>0</v>
      </c>
      <c r="T111" s="374">
        <f t="shared" si="6"/>
        <v>73.400000000000006</v>
      </c>
      <c r="U111" s="34"/>
    </row>
    <row r="112" spans="1:22" ht="35.1" customHeight="1" x14ac:dyDescent="0.25">
      <c r="A112" s="409"/>
      <c r="B112" s="398"/>
      <c r="C112" s="369"/>
      <c r="D112" s="371">
        <v>975</v>
      </c>
      <c r="E112" s="379" t="s">
        <v>384</v>
      </c>
      <c r="F112" s="379" t="s">
        <v>481</v>
      </c>
      <c r="G112" s="385">
        <v>621</v>
      </c>
      <c r="H112" s="373"/>
      <c r="I112" s="373"/>
      <c r="J112" s="373"/>
      <c r="K112" s="373"/>
      <c r="L112" s="373"/>
      <c r="M112" s="373"/>
      <c r="N112" s="373">
        <v>59</v>
      </c>
      <c r="O112" s="373"/>
      <c r="P112" s="373"/>
      <c r="Q112" s="373">
        <f t="shared" si="5"/>
        <v>0</v>
      </c>
      <c r="R112" s="373">
        <f t="shared" si="5"/>
        <v>0</v>
      </c>
      <c r="S112" s="373">
        <f t="shared" si="5"/>
        <v>0</v>
      </c>
      <c r="T112" s="374">
        <f t="shared" si="6"/>
        <v>59</v>
      </c>
      <c r="U112" s="34"/>
    </row>
    <row r="113" spans="1:24" ht="35.1" customHeight="1" x14ac:dyDescent="0.25">
      <c r="A113" s="409"/>
      <c r="B113" s="398"/>
      <c r="C113" s="369"/>
      <c r="D113" s="371">
        <v>975</v>
      </c>
      <c r="E113" s="379" t="s">
        <v>384</v>
      </c>
      <c r="F113" s="379" t="s">
        <v>482</v>
      </c>
      <c r="G113" s="385">
        <v>110</v>
      </c>
      <c r="H113" s="373"/>
      <c r="I113" s="373"/>
      <c r="J113" s="373"/>
      <c r="K113" s="373"/>
      <c r="L113" s="373">
        <v>460.4</v>
      </c>
      <c r="M113" s="373"/>
      <c r="N113" s="373"/>
      <c r="O113" s="373"/>
      <c r="P113" s="373">
        <f>O113</f>
        <v>0</v>
      </c>
      <c r="Q113" s="373">
        <f t="shared" si="5"/>
        <v>0</v>
      </c>
      <c r="R113" s="373">
        <f t="shared" si="5"/>
        <v>0</v>
      </c>
      <c r="S113" s="373">
        <f t="shared" si="5"/>
        <v>0</v>
      </c>
      <c r="T113" s="374">
        <f t="shared" si="6"/>
        <v>460.4</v>
      </c>
      <c r="U113" s="34"/>
    </row>
    <row r="114" spans="1:24" ht="35.1" customHeight="1" x14ac:dyDescent="0.25">
      <c r="A114" s="409"/>
      <c r="B114" s="398"/>
      <c r="C114" s="369"/>
      <c r="D114" s="371">
        <v>975</v>
      </c>
      <c r="E114" s="379" t="s">
        <v>384</v>
      </c>
      <c r="F114" s="379" t="s">
        <v>477</v>
      </c>
      <c r="G114" s="385">
        <v>870</v>
      </c>
      <c r="H114" s="373"/>
      <c r="I114" s="373"/>
      <c r="J114" s="373"/>
      <c r="K114" s="373"/>
      <c r="L114" s="373"/>
      <c r="M114" s="373"/>
      <c r="N114" s="373"/>
      <c r="O114" s="373"/>
      <c r="P114" s="373">
        <f>1147.9-1147.9</f>
        <v>0</v>
      </c>
      <c r="Q114" s="373">
        <v>0</v>
      </c>
      <c r="R114" s="373">
        <f t="shared" si="5"/>
        <v>0</v>
      </c>
      <c r="S114" s="373">
        <f t="shared" si="5"/>
        <v>0</v>
      </c>
      <c r="T114" s="374">
        <f t="shared" si="6"/>
        <v>0</v>
      </c>
      <c r="U114" s="34"/>
    </row>
    <row r="115" spans="1:24" ht="35.1" customHeight="1" x14ac:dyDescent="0.25">
      <c r="A115" s="409"/>
      <c r="B115" s="398"/>
      <c r="C115" s="369"/>
      <c r="D115" s="371">
        <v>975</v>
      </c>
      <c r="E115" s="379" t="s">
        <v>384</v>
      </c>
      <c r="F115" s="379" t="s">
        <v>476</v>
      </c>
      <c r="G115" s="385">
        <v>611</v>
      </c>
      <c r="H115" s="373">
        <v>77</v>
      </c>
      <c r="I115" s="373"/>
      <c r="J115" s="373"/>
      <c r="K115" s="373"/>
      <c r="L115" s="373"/>
      <c r="M115" s="373"/>
      <c r="N115" s="373"/>
      <c r="O115" s="373"/>
      <c r="P115" s="373">
        <f>O115</f>
        <v>0</v>
      </c>
      <c r="Q115" s="373">
        <f t="shared" si="5"/>
        <v>0</v>
      </c>
      <c r="R115" s="373">
        <f t="shared" si="5"/>
        <v>0</v>
      </c>
      <c r="S115" s="373">
        <f t="shared" si="5"/>
        <v>0</v>
      </c>
      <c r="T115" s="374">
        <f t="shared" si="6"/>
        <v>77</v>
      </c>
      <c r="U115" s="34"/>
    </row>
    <row r="116" spans="1:24" ht="43.5" customHeight="1" x14ac:dyDescent="0.25">
      <c r="A116" s="291"/>
      <c r="B116" s="378" t="s">
        <v>483</v>
      </c>
      <c r="C116" s="371"/>
      <c r="D116" s="371">
        <v>975</v>
      </c>
      <c r="E116" s="379" t="s">
        <v>384</v>
      </c>
      <c r="F116" s="379" t="s">
        <v>484</v>
      </c>
      <c r="G116" s="385">
        <v>611</v>
      </c>
      <c r="H116" s="373"/>
      <c r="I116" s="373"/>
      <c r="J116" s="373"/>
      <c r="K116" s="373"/>
      <c r="L116" s="373"/>
      <c r="M116" s="373"/>
      <c r="N116" s="373"/>
      <c r="O116" s="373"/>
      <c r="P116" s="373"/>
      <c r="Q116" s="373">
        <v>19.2</v>
      </c>
      <c r="R116" s="373">
        <v>95.4</v>
      </c>
      <c r="S116" s="373">
        <v>95.4</v>
      </c>
      <c r="T116" s="374">
        <f t="shared" si="6"/>
        <v>210</v>
      </c>
      <c r="U116" s="34"/>
    </row>
    <row r="117" spans="1:24" ht="43.5" customHeight="1" x14ac:dyDescent="0.25">
      <c r="A117" s="291"/>
      <c r="B117" s="382"/>
      <c r="C117" s="371"/>
      <c r="D117" s="371">
        <v>975</v>
      </c>
      <c r="E117" s="379" t="s">
        <v>384</v>
      </c>
      <c r="F117" s="379" t="s">
        <v>484</v>
      </c>
      <c r="G117" s="385">
        <v>611</v>
      </c>
      <c r="H117" s="373"/>
      <c r="I117" s="373"/>
      <c r="J117" s="373"/>
      <c r="K117" s="373"/>
      <c r="L117" s="373"/>
      <c r="M117" s="373"/>
      <c r="N117" s="373"/>
      <c r="O117" s="373"/>
      <c r="P117" s="373"/>
      <c r="Q117" s="373">
        <v>364.2</v>
      </c>
      <c r="R117" s="373">
        <v>1812.4</v>
      </c>
      <c r="S117" s="373">
        <v>1812.4</v>
      </c>
      <c r="T117" s="374">
        <f t="shared" si="6"/>
        <v>3989</v>
      </c>
      <c r="U117" s="34"/>
    </row>
    <row r="118" spans="1:24" ht="43.5" customHeight="1" x14ac:dyDescent="0.25">
      <c r="A118" s="291"/>
      <c r="B118" s="382"/>
      <c r="C118" s="371"/>
      <c r="D118" s="371">
        <v>975</v>
      </c>
      <c r="E118" s="379" t="s">
        <v>384</v>
      </c>
      <c r="F118" s="379" t="s">
        <v>484</v>
      </c>
      <c r="G118" s="385">
        <v>621</v>
      </c>
      <c r="H118" s="373"/>
      <c r="I118" s="373"/>
      <c r="J118" s="373"/>
      <c r="K118" s="373"/>
      <c r="L118" s="373"/>
      <c r="M118" s="373"/>
      <c r="N118" s="373"/>
      <c r="O118" s="373"/>
      <c r="P118" s="373"/>
      <c r="Q118" s="373">
        <v>6.4</v>
      </c>
      <c r="R118" s="373">
        <v>19.100000000000001</v>
      </c>
      <c r="S118" s="373">
        <v>19.100000000000001</v>
      </c>
      <c r="T118" s="374">
        <f t="shared" si="6"/>
        <v>44.6</v>
      </c>
      <c r="U118" s="34"/>
    </row>
    <row r="119" spans="1:24" ht="43.5" customHeight="1" x14ac:dyDescent="0.25">
      <c r="A119" s="291"/>
      <c r="B119" s="384"/>
      <c r="C119" s="371"/>
      <c r="D119" s="371">
        <v>975</v>
      </c>
      <c r="E119" s="379" t="s">
        <v>384</v>
      </c>
      <c r="F119" s="379" t="s">
        <v>484</v>
      </c>
      <c r="G119" s="385">
        <v>621</v>
      </c>
      <c r="H119" s="373"/>
      <c r="I119" s="373"/>
      <c r="J119" s="373"/>
      <c r="K119" s="373"/>
      <c r="L119" s="373"/>
      <c r="M119" s="373"/>
      <c r="N119" s="373"/>
      <c r="O119" s="373"/>
      <c r="P119" s="373"/>
      <c r="Q119" s="373">
        <v>121.4</v>
      </c>
      <c r="R119" s="373">
        <v>362.5</v>
      </c>
      <c r="S119" s="373">
        <v>362.5</v>
      </c>
      <c r="T119" s="374">
        <f t="shared" si="6"/>
        <v>846.4</v>
      </c>
      <c r="U119" s="34"/>
    </row>
    <row r="120" spans="1:24" ht="69.75" customHeight="1" x14ac:dyDescent="0.25">
      <c r="A120" s="411" t="s">
        <v>150</v>
      </c>
      <c r="B120" s="396" t="s">
        <v>485</v>
      </c>
      <c r="C120" s="371" t="s">
        <v>17</v>
      </c>
      <c r="D120" s="379" t="s">
        <v>18</v>
      </c>
      <c r="E120" s="379" t="s">
        <v>384</v>
      </c>
      <c r="F120" s="371" t="s">
        <v>15</v>
      </c>
      <c r="G120" s="371" t="s">
        <v>15</v>
      </c>
      <c r="H120" s="407">
        <v>777.6</v>
      </c>
      <c r="I120" s="407">
        <v>532.1</v>
      </c>
      <c r="J120" s="407">
        <v>1013.8</v>
      </c>
      <c r="K120" s="407">
        <v>1013.8</v>
      </c>
      <c r="L120" s="407">
        <f>201+878</f>
        <v>1079</v>
      </c>
      <c r="M120" s="407">
        <f>772.8+3490.5</f>
        <v>4263.3</v>
      </c>
      <c r="N120" s="407">
        <f>802.1+5384</f>
        <v>6186.1</v>
      </c>
      <c r="O120" s="407">
        <v>982.8</v>
      </c>
      <c r="P120" s="407">
        <v>1062.7</v>
      </c>
      <c r="Q120" s="373">
        <v>802.8</v>
      </c>
      <c r="R120" s="373">
        <f t="shared" si="5"/>
        <v>802.8</v>
      </c>
      <c r="S120" s="373">
        <f t="shared" si="5"/>
        <v>802.8</v>
      </c>
      <c r="T120" s="374">
        <f t="shared" si="6"/>
        <v>19319.599999999999</v>
      </c>
      <c r="U120" s="34"/>
      <c r="W120" s="412">
        <f>O127+O64</f>
        <v>311691.39999999997</v>
      </c>
      <c r="X120" s="413">
        <f>W120/3290</f>
        <v>94.739027355623094</v>
      </c>
    </row>
    <row r="121" spans="1:24" ht="75" hidden="1" customHeight="1" x14ac:dyDescent="0.25">
      <c r="A121" s="414" t="s">
        <v>148</v>
      </c>
      <c r="B121" s="415" t="s">
        <v>486</v>
      </c>
      <c r="C121" s="415" t="s">
        <v>17</v>
      </c>
      <c r="D121" s="416" t="s">
        <v>18</v>
      </c>
      <c r="E121" s="416" t="s">
        <v>384</v>
      </c>
      <c r="F121" s="416" t="s">
        <v>15</v>
      </c>
      <c r="G121" s="415" t="s">
        <v>15</v>
      </c>
      <c r="H121" s="417">
        <v>0</v>
      </c>
      <c r="I121" s="417">
        <v>0</v>
      </c>
      <c r="J121" s="417">
        <v>0</v>
      </c>
      <c r="K121" s="417"/>
      <c r="L121" s="417"/>
      <c r="M121" s="417"/>
      <c r="N121" s="417"/>
      <c r="O121" s="417"/>
      <c r="P121" s="373">
        <f t="shared" ref="P121:P126" si="8">O121</f>
        <v>0</v>
      </c>
      <c r="Q121" s="373">
        <f t="shared" si="5"/>
        <v>0</v>
      </c>
      <c r="R121" s="373">
        <f t="shared" si="5"/>
        <v>0</v>
      </c>
      <c r="S121" s="373">
        <f t="shared" si="5"/>
        <v>0</v>
      </c>
      <c r="T121" s="374">
        <f t="shared" si="6"/>
        <v>0</v>
      </c>
      <c r="U121" s="31" t="s">
        <v>487</v>
      </c>
      <c r="V121" s="57">
        <v>2</v>
      </c>
    </row>
    <row r="122" spans="1:24" ht="134.25" hidden="1" customHeight="1" x14ac:dyDescent="0.25">
      <c r="A122" s="414" t="s">
        <v>150</v>
      </c>
      <c r="B122" s="396" t="s">
        <v>488</v>
      </c>
      <c r="C122" s="371" t="s">
        <v>17</v>
      </c>
      <c r="D122" s="414" t="s">
        <v>18</v>
      </c>
      <c r="E122" s="414" t="s">
        <v>489</v>
      </c>
      <c r="F122" s="414" t="s">
        <v>15</v>
      </c>
      <c r="G122" s="371" t="s">
        <v>15</v>
      </c>
      <c r="H122" s="407">
        <v>0</v>
      </c>
      <c r="I122" s="407">
        <v>0</v>
      </c>
      <c r="J122" s="407">
        <v>0</v>
      </c>
      <c r="K122" s="407"/>
      <c r="L122" s="407"/>
      <c r="M122" s="407"/>
      <c r="N122" s="407"/>
      <c r="O122" s="407"/>
      <c r="P122" s="373">
        <f t="shared" si="8"/>
        <v>0</v>
      </c>
      <c r="Q122" s="373">
        <f t="shared" si="5"/>
        <v>0</v>
      </c>
      <c r="R122" s="373">
        <f t="shared" si="5"/>
        <v>0</v>
      </c>
      <c r="S122" s="373">
        <f t="shared" si="5"/>
        <v>0</v>
      </c>
      <c r="T122" s="374">
        <f t="shared" si="6"/>
        <v>0</v>
      </c>
      <c r="U122" s="31" t="s">
        <v>490</v>
      </c>
    </row>
    <row r="123" spans="1:24" ht="72.75" hidden="1" customHeight="1" x14ac:dyDescent="0.25">
      <c r="A123" s="414" t="s">
        <v>152</v>
      </c>
      <c r="B123" s="371" t="s">
        <v>491</v>
      </c>
      <c r="C123" s="371" t="s">
        <v>17</v>
      </c>
      <c r="D123" s="414" t="s">
        <v>18</v>
      </c>
      <c r="E123" s="414" t="s">
        <v>489</v>
      </c>
      <c r="F123" s="414" t="s">
        <v>15</v>
      </c>
      <c r="G123" s="371" t="s">
        <v>15</v>
      </c>
      <c r="H123" s="407">
        <v>0</v>
      </c>
      <c r="I123" s="407">
        <v>0</v>
      </c>
      <c r="J123" s="407">
        <v>0</v>
      </c>
      <c r="K123" s="417"/>
      <c r="L123" s="417"/>
      <c r="M123" s="417"/>
      <c r="N123" s="417"/>
      <c r="O123" s="417"/>
      <c r="P123" s="373">
        <f t="shared" si="8"/>
        <v>0</v>
      </c>
      <c r="Q123" s="373">
        <f t="shared" si="5"/>
        <v>0</v>
      </c>
      <c r="R123" s="373">
        <f t="shared" si="5"/>
        <v>0</v>
      </c>
      <c r="S123" s="373">
        <f t="shared" si="5"/>
        <v>0</v>
      </c>
      <c r="T123" s="374">
        <f t="shared" si="6"/>
        <v>0</v>
      </c>
      <c r="U123" s="418" t="s">
        <v>492</v>
      </c>
    </row>
    <row r="124" spans="1:24" ht="78" hidden="1" customHeight="1" x14ac:dyDescent="0.25">
      <c r="A124" s="419"/>
      <c r="B124" s="371" t="s">
        <v>493</v>
      </c>
      <c r="C124" s="371" t="s">
        <v>17</v>
      </c>
      <c r="D124" s="414"/>
      <c r="E124" s="414"/>
      <c r="F124" s="414"/>
      <c r="G124" s="371" t="s">
        <v>15</v>
      </c>
      <c r="H124" s="373"/>
      <c r="I124" s="373"/>
      <c r="J124" s="407"/>
      <c r="K124" s="407"/>
      <c r="L124" s="407"/>
      <c r="M124" s="407"/>
      <c r="N124" s="407"/>
      <c r="O124" s="407"/>
      <c r="P124" s="373">
        <f t="shared" si="8"/>
        <v>0</v>
      </c>
      <c r="Q124" s="373">
        <f t="shared" si="5"/>
        <v>0</v>
      </c>
      <c r="R124" s="373">
        <f t="shared" si="5"/>
        <v>0</v>
      </c>
      <c r="S124" s="373">
        <f t="shared" si="5"/>
        <v>0</v>
      </c>
      <c r="T124" s="374">
        <f t="shared" si="6"/>
        <v>0</v>
      </c>
      <c r="U124" s="31" t="s">
        <v>494</v>
      </c>
      <c r="V124" s="420" t="s">
        <v>495</v>
      </c>
      <c r="W124" s="421" t="s">
        <v>496</v>
      </c>
      <c r="X124" s="422" t="s">
        <v>497</v>
      </c>
    </row>
    <row r="125" spans="1:24" ht="86.25" hidden="1" customHeight="1" x14ac:dyDescent="0.25">
      <c r="A125" s="419" t="s">
        <v>154</v>
      </c>
      <c r="B125" s="371" t="s">
        <v>498</v>
      </c>
      <c r="C125" s="371" t="s">
        <v>499</v>
      </c>
      <c r="D125" s="414" t="s">
        <v>18</v>
      </c>
      <c r="E125" s="414" t="s">
        <v>384</v>
      </c>
      <c r="F125" s="414" t="s">
        <v>500</v>
      </c>
      <c r="G125" s="371">
        <v>244</v>
      </c>
      <c r="H125" s="373"/>
      <c r="I125" s="373"/>
      <c r="J125" s="407"/>
      <c r="K125" s="407"/>
      <c r="L125" s="407"/>
      <c r="M125" s="407"/>
      <c r="N125" s="407"/>
      <c r="O125" s="407"/>
      <c r="P125" s="373">
        <f t="shared" si="8"/>
        <v>0</v>
      </c>
      <c r="Q125" s="373">
        <f t="shared" si="5"/>
        <v>0</v>
      </c>
      <c r="R125" s="373">
        <f t="shared" si="5"/>
        <v>0</v>
      </c>
      <c r="S125" s="373">
        <f t="shared" si="5"/>
        <v>0</v>
      </c>
      <c r="T125" s="374">
        <f t="shared" si="6"/>
        <v>0</v>
      </c>
      <c r="U125" s="31" t="s">
        <v>501</v>
      </c>
      <c r="V125" s="423"/>
      <c r="W125" s="421"/>
      <c r="X125" s="422"/>
    </row>
    <row r="126" spans="1:24" ht="70.5" hidden="1" customHeight="1" x14ac:dyDescent="0.25">
      <c r="A126" s="419" t="s">
        <v>156</v>
      </c>
      <c r="B126" s="371" t="s">
        <v>502</v>
      </c>
      <c r="C126" s="371" t="s">
        <v>499</v>
      </c>
      <c r="D126" s="414" t="s">
        <v>18</v>
      </c>
      <c r="E126" s="414" t="s">
        <v>384</v>
      </c>
      <c r="F126" s="414" t="s">
        <v>15</v>
      </c>
      <c r="G126" s="371" t="s">
        <v>15</v>
      </c>
      <c r="H126" s="373">
        <v>0</v>
      </c>
      <c r="I126" s="373">
        <v>0</v>
      </c>
      <c r="J126" s="373">
        <v>0</v>
      </c>
      <c r="K126" s="373"/>
      <c r="L126" s="373"/>
      <c r="M126" s="373"/>
      <c r="N126" s="373"/>
      <c r="O126" s="373"/>
      <c r="P126" s="373">
        <f t="shared" si="8"/>
        <v>0</v>
      </c>
      <c r="Q126" s="373">
        <f t="shared" si="5"/>
        <v>0</v>
      </c>
      <c r="R126" s="373">
        <f t="shared" si="5"/>
        <v>0</v>
      </c>
      <c r="S126" s="373">
        <f t="shared" si="5"/>
        <v>0</v>
      </c>
      <c r="T126" s="374">
        <f t="shared" si="6"/>
        <v>0</v>
      </c>
      <c r="U126" s="31" t="s">
        <v>503</v>
      </c>
      <c r="V126" s="423"/>
      <c r="W126" s="421"/>
      <c r="X126" s="422"/>
    </row>
    <row r="127" spans="1:24" ht="21" customHeight="1" x14ac:dyDescent="0.25">
      <c r="A127" s="424" t="s">
        <v>504</v>
      </c>
      <c r="B127" s="424"/>
      <c r="C127" s="425"/>
      <c r="D127" s="425"/>
      <c r="E127" s="425"/>
      <c r="F127" s="425"/>
      <c r="G127" s="425"/>
      <c r="H127" s="407">
        <f t="shared" ref="H127:Q127" si="9">SUM(H66:H126)</f>
        <v>179920.50000000003</v>
      </c>
      <c r="I127" s="407">
        <f t="shared" si="9"/>
        <v>191066.30000000002</v>
      </c>
      <c r="J127" s="407">
        <f t="shared" si="9"/>
        <v>202246.1</v>
      </c>
      <c r="K127" s="407">
        <f t="shared" si="9"/>
        <v>210858.7</v>
      </c>
      <c r="L127" s="407">
        <f t="shared" si="9"/>
        <v>222793.49999999997</v>
      </c>
      <c r="M127" s="407">
        <f t="shared" si="9"/>
        <v>233577.89999999994</v>
      </c>
      <c r="N127" s="407">
        <f t="shared" si="9"/>
        <v>236370.90000000002</v>
      </c>
      <c r="O127" s="407">
        <f t="shared" si="9"/>
        <v>267438.8</v>
      </c>
      <c r="P127" s="407">
        <f t="shared" si="9"/>
        <v>311208.10000000003</v>
      </c>
      <c r="Q127" s="407">
        <f t="shared" si="9"/>
        <v>338993.00000000006</v>
      </c>
      <c r="R127" s="373">
        <f t="shared" ref="R127:S187" si="10">Q127</f>
        <v>338993.00000000006</v>
      </c>
      <c r="S127" s="373">
        <f t="shared" si="10"/>
        <v>338993.00000000006</v>
      </c>
      <c r="T127" s="374">
        <f t="shared" si="6"/>
        <v>3072459.8000000003</v>
      </c>
      <c r="U127" s="426"/>
    </row>
    <row r="128" spans="1:24" ht="27.75" customHeight="1" x14ac:dyDescent="0.25">
      <c r="A128" s="427" t="s">
        <v>505</v>
      </c>
      <c r="B128" s="427"/>
      <c r="C128" s="427"/>
      <c r="D128" s="427"/>
      <c r="E128" s="427"/>
      <c r="F128" s="427"/>
      <c r="G128" s="427"/>
      <c r="H128" s="428"/>
      <c r="I128" s="428"/>
      <c r="J128" s="428"/>
      <c r="K128" s="428"/>
      <c r="L128" s="428"/>
      <c r="M128" s="428"/>
      <c r="N128" s="428"/>
      <c r="O128" s="428"/>
      <c r="P128" s="428"/>
      <c r="Q128" s="428"/>
      <c r="R128" s="428"/>
      <c r="S128" s="428"/>
      <c r="T128" s="429"/>
      <c r="U128" s="430"/>
      <c r="W128" s="412">
        <f>P64+P127</f>
        <v>360394.60000000003</v>
      </c>
      <c r="X128" s="413">
        <f>W128/3290</f>
        <v>109.54243161094226</v>
      </c>
    </row>
    <row r="129" spans="1:23" ht="35.1" customHeight="1" x14ac:dyDescent="0.25">
      <c r="A129" s="431" t="s">
        <v>506</v>
      </c>
      <c r="B129" s="378" t="s">
        <v>507</v>
      </c>
      <c r="C129" s="69" t="s">
        <v>17</v>
      </c>
      <c r="D129" s="414" t="s">
        <v>18</v>
      </c>
      <c r="E129" s="414" t="s">
        <v>475</v>
      </c>
      <c r="F129" s="432" t="s">
        <v>508</v>
      </c>
      <c r="G129" s="427">
        <v>611</v>
      </c>
      <c r="H129" s="407">
        <v>23037.9</v>
      </c>
      <c r="I129" s="407">
        <v>23911.599999999999</v>
      </c>
      <c r="J129" s="407">
        <v>22936.7</v>
      </c>
      <c r="K129" s="407">
        <v>22825.4</v>
      </c>
      <c r="L129" s="407">
        <v>23271.9</v>
      </c>
      <c r="M129" s="407">
        <v>24149.7</v>
      </c>
      <c r="N129" s="407">
        <v>23497.200000000001</v>
      </c>
      <c r="O129" s="407">
        <v>1517.4</v>
      </c>
      <c r="P129" s="407">
        <f>2651.9+207.3</f>
        <v>2859.2000000000003</v>
      </c>
      <c r="Q129" s="407">
        <v>2161.5</v>
      </c>
      <c r="R129" s="407">
        <v>1971.8</v>
      </c>
      <c r="S129" s="407">
        <v>1971.8</v>
      </c>
      <c r="T129" s="374">
        <f>SUM(H129:S129)</f>
        <v>174112.1</v>
      </c>
      <c r="U129" s="34" t="s">
        <v>509</v>
      </c>
    </row>
    <row r="130" spans="1:23" ht="35.1" customHeight="1" x14ac:dyDescent="0.25">
      <c r="A130" s="431"/>
      <c r="B130" s="382"/>
      <c r="C130" s="69"/>
      <c r="D130" s="414" t="s">
        <v>18</v>
      </c>
      <c r="E130" s="414" t="s">
        <v>475</v>
      </c>
      <c r="F130" s="432" t="s">
        <v>510</v>
      </c>
      <c r="G130" s="427">
        <v>611</v>
      </c>
      <c r="H130" s="407"/>
      <c r="I130" s="407"/>
      <c r="J130" s="407"/>
      <c r="K130" s="407"/>
      <c r="L130" s="407"/>
      <c r="M130" s="407"/>
      <c r="N130" s="407"/>
      <c r="O130" s="407">
        <v>5163.3</v>
      </c>
      <c r="P130" s="407">
        <v>5204.2</v>
      </c>
      <c r="Q130" s="407">
        <v>5746.6</v>
      </c>
      <c r="R130" s="407">
        <v>5746.6</v>
      </c>
      <c r="S130" s="407">
        <v>5746.6</v>
      </c>
      <c r="T130" s="374">
        <f t="shared" ref="T130:T170" si="11">SUM(H130:S130)</f>
        <v>27607.300000000003</v>
      </c>
      <c r="U130" s="34"/>
      <c r="W130" s="412">
        <f>Q127+Q64</f>
        <v>386865.80000000005</v>
      </c>
    </row>
    <row r="131" spans="1:23" ht="35.1" customHeight="1" x14ac:dyDescent="0.25">
      <c r="A131" s="431"/>
      <c r="B131" s="382"/>
      <c r="C131" s="69"/>
      <c r="D131" s="414" t="s">
        <v>18</v>
      </c>
      <c r="E131" s="414" t="s">
        <v>475</v>
      </c>
      <c r="F131" s="432" t="s">
        <v>511</v>
      </c>
      <c r="G131" s="427">
        <v>611</v>
      </c>
      <c r="H131" s="407"/>
      <c r="I131" s="407"/>
      <c r="J131" s="407"/>
      <c r="K131" s="407"/>
      <c r="L131" s="407"/>
      <c r="M131" s="407"/>
      <c r="N131" s="407"/>
      <c r="O131" s="407">
        <v>25885.1</v>
      </c>
      <c r="P131" s="407">
        <v>28003.1</v>
      </c>
      <c r="Q131" s="433">
        <v>25634.2</v>
      </c>
      <c r="R131" s="407">
        <v>23913.599999999999</v>
      </c>
      <c r="S131" s="407">
        <f t="shared" ref="R131:S170" si="12">R131</f>
        <v>23913.599999999999</v>
      </c>
      <c r="T131" s="374">
        <f t="shared" si="11"/>
        <v>127349.6</v>
      </c>
      <c r="U131" s="34"/>
    </row>
    <row r="132" spans="1:23" ht="35.1" customHeight="1" x14ac:dyDescent="0.25">
      <c r="A132" s="431"/>
      <c r="B132" s="382"/>
      <c r="C132" s="69"/>
      <c r="D132" s="414" t="s">
        <v>18</v>
      </c>
      <c r="E132" s="414" t="s">
        <v>475</v>
      </c>
      <c r="F132" s="432" t="s">
        <v>508</v>
      </c>
      <c r="G132" s="427">
        <v>612</v>
      </c>
      <c r="H132" s="407">
        <v>228.9</v>
      </c>
      <c r="I132" s="407">
        <v>1514.5</v>
      </c>
      <c r="J132" s="407">
        <f>13390.2-J145-J148</f>
        <v>13254.2</v>
      </c>
      <c r="K132" s="407">
        <v>6851.9</v>
      </c>
      <c r="L132" s="407">
        <v>120</v>
      </c>
      <c r="M132" s="407">
        <v>14.5</v>
      </c>
      <c r="N132" s="407">
        <v>0</v>
      </c>
      <c r="O132" s="407">
        <v>447.9</v>
      </c>
      <c r="P132" s="407">
        <f>90+163.3</f>
        <v>253.3</v>
      </c>
      <c r="Q132" s="407">
        <v>0</v>
      </c>
      <c r="R132" s="407">
        <f t="shared" si="12"/>
        <v>0</v>
      </c>
      <c r="S132" s="407">
        <f t="shared" si="12"/>
        <v>0</v>
      </c>
      <c r="T132" s="374">
        <f t="shared" si="11"/>
        <v>22685.200000000001</v>
      </c>
      <c r="U132" s="34"/>
    </row>
    <row r="133" spans="1:23" ht="35.1" customHeight="1" x14ac:dyDescent="0.25">
      <c r="A133" s="431"/>
      <c r="B133" s="382"/>
      <c r="C133" s="69"/>
      <c r="D133" s="414" t="s">
        <v>18</v>
      </c>
      <c r="E133" s="414" t="s">
        <v>475</v>
      </c>
      <c r="F133" s="432" t="s">
        <v>464</v>
      </c>
      <c r="G133" s="427">
        <v>611</v>
      </c>
      <c r="H133" s="407"/>
      <c r="I133" s="407"/>
      <c r="J133" s="407"/>
      <c r="K133" s="407">
        <v>2950.8</v>
      </c>
      <c r="L133" s="407">
        <v>3915.8</v>
      </c>
      <c r="M133" s="407">
        <v>6010.2</v>
      </c>
      <c r="N133" s="407">
        <v>5508.7</v>
      </c>
      <c r="O133" s="407">
        <v>0</v>
      </c>
      <c r="P133" s="407">
        <v>0</v>
      </c>
      <c r="Q133" s="407">
        <f t="shared" ref="Q133:Q164" si="13">P133</f>
        <v>0</v>
      </c>
      <c r="R133" s="407">
        <f t="shared" si="12"/>
        <v>0</v>
      </c>
      <c r="S133" s="407">
        <f t="shared" si="12"/>
        <v>0</v>
      </c>
      <c r="T133" s="374">
        <f t="shared" si="11"/>
        <v>18385.5</v>
      </c>
      <c r="U133" s="34"/>
    </row>
    <row r="134" spans="1:23" ht="35.1" customHeight="1" x14ac:dyDescent="0.25">
      <c r="A134" s="431"/>
      <c r="B134" s="382"/>
      <c r="C134" s="69"/>
      <c r="D134" s="414" t="s">
        <v>18</v>
      </c>
      <c r="E134" s="414" t="s">
        <v>475</v>
      </c>
      <c r="F134" s="432" t="s">
        <v>512</v>
      </c>
      <c r="G134" s="427">
        <v>611</v>
      </c>
      <c r="H134" s="407"/>
      <c r="I134" s="407"/>
      <c r="J134" s="407"/>
      <c r="K134" s="407">
        <v>111.3</v>
      </c>
      <c r="L134" s="407">
        <v>106.9</v>
      </c>
      <c r="M134" s="407">
        <v>105.5</v>
      </c>
      <c r="N134" s="407">
        <v>0</v>
      </c>
      <c r="O134" s="407">
        <v>0</v>
      </c>
      <c r="P134" s="407">
        <v>0</v>
      </c>
      <c r="Q134" s="407">
        <f t="shared" si="13"/>
        <v>0</v>
      </c>
      <c r="R134" s="407">
        <f t="shared" si="12"/>
        <v>0</v>
      </c>
      <c r="S134" s="407">
        <f t="shared" si="12"/>
        <v>0</v>
      </c>
      <c r="T134" s="374">
        <f t="shared" si="11"/>
        <v>323.7</v>
      </c>
      <c r="U134" s="34"/>
    </row>
    <row r="135" spans="1:23" ht="35.1" customHeight="1" x14ac:dyDescent="0.25">
      <c r="A135" s="431"/>
      <c r="B135" s="382"/>
      <c r="C135" s="69"/>
      <c r="D135" s="414" t="s">
        <v>18</v>
      </c>
      <c r="E135" s="414" t="s">
        <v>475</v>
      </c>
      <c r="F135" s="432" t="s">
        <v>513</v>
      </c>
      <c r="G135" s="427">
        <v>611</v>
      </c>
      <c r="H135" s="407">
        <v>0</v>
      </c>
      <c r="I135" s="407">
        <v>0</v>
      </c>
      <c r="J135" s="407">
        <v>0</v>
      </c>
      <c r="K135" s="407">
        <v>547.79999999999995</v>
      </c>
      <c r="L135" s="407">
        <v>0</v>
      </c>
      <c r="M135" s="407">
        <v>0</v>
      </c>
      <c r="N135" s="407">
        <v>0</v>
      </c>
      <c r="O135" s="407">
        <v>0</v>
      </c>
      <c r="P135" s="407">
        <f t="shared" ref="P135:P153" si="14">O135</f>
        <v>0</v>
      </c>
      <c r="Q135" s="407">
        <f t="shared" si="13"/>
        <v>0</v>
      </c>
      <c r="R135" s="407">
        <f t="shared" si="12"/>
        <v>0</v>
      </c>
      <c r="S135" s="407">
        <f t="shared" si="12"/>
        <v>0</v>
      </c>
      <c r="T135" s="374">
        <f t="shared" si="11"/>
        <v>547.79999999999995</v>
      </c>
      <c r="U135" s="34"/>
    </row>
    <row r="136" spans="1:23" ht="35.1" customHeight="1" x14ac:dyDescent="0.25">
      <c r="A136" s="431"/>
      <c r="B136" s="382"/>
      <c r="C136" s="69"/>
      <c r="D136" s="414" t="s">
        <v>18</v>
      </c>
      <c r="E136" s="414" t="s">
        <v>475</v>
      </c>
      <c r="F136" s="432" t="s">
        <v>514</v>
      </c>
      <c r="G136" s="427">
        <v>611</v>
      </c>
      <c r="H136" s="407"/>
      <c r="I136" s="407"/>
      <c r="J136" s="407"/>
      <c r="K136" s="407"/>
      <c r="L136" s="407">
        <v>1204.5</v>
      </c>
      <c r="M136" s="407">
        <v>1690.6</v>
      </c>
      <c r="N136" s="407">
        <v>1585.8</v>
      </c>
      <c r="O136" s="407">
        <v>0</v>
      </c>
      <c r="P136" s="407">
        <f t="shared" si="14"/>
        <v>0</v>
      </c>
      <c r="Q136" s="407">
        <f t="shared" si="13"/>
        <v>0</v>
      </c>
      <c r="R136" s="407">
        <f t="shared" si="12"/>
        <v>0</v>
      </c>
      <c r="S136" s="407">
        <f t="shared" si="12"/>
        <v>0</v>
      </c>
      <c r="T136" s="374">
        <f t="shared" si="11"/>
        <v>4480.8999999999996</v>
      </c>
      <c r="U136" s="34"/>
    </row>
    <row r="137" spans="1:23" ht="59.45" customHeight="1" x14ac:dyDescent="0.25">
      <c r="A137" s="431"/>
      <c r="B137" s="382"/>
      <c r="C137" s="69"/>
      <c r="D137" s="414" t="s">
        <v>18</v>
      </c>
      <c r="E137" s="414" t="s">
        <v>475</v>
      </c>
      <c r="F137" s="379" t="s">
        <v>515</v>
      </c>
      <c r="G137" s="427">
        <v>611</v>
      </c>
      <c r="H137" s="407"/>
      <c r="I137" s="407"/>
      <c r="J137" s="407"/>
      <c r="K137" s="407"/>
      <c r="L137" s="407">
        <v>689.2</v>
      </c>
      <c r="M137" s="407">
        <v>97.3</v>
      </c>
      <c r="N137" s="407">
        <v>589.4</v>
      </c>
      <c r="O137" s="407">
        <v>0</v>
      </c>
      <c r="P137" s="407">
        <v>616.5</v>
      </c>
      <c r="Q137" s="407">
        <v>0</v>
      </c>
      <c r="R137" s="407">
        <f t="shared" si="12"/>
        <v>0</v>
      </c>
      <c r="S137" s="407">
        <f t="shared" si="12"/>
        <v>0</v>
      </c>
      <c r="T137" s="374">
        <f t="shared" si="11"/>
        <v>1992.4</v>
      </c>
      <c r="U137" s="34"/>
    </row>
    <row r="138" spans="1:23" ht="59.45" customHeight="1" x14ac:dyDescent="0.25">
      <c r="A138" s="431"/>
      <c r="B138" s="382"/>
      <c r="C138" s="69"/>
      <c r="D138" s="414" t="s">
        <v>18</v>
      </c>
      <c r="E138" s="414" t="s">
        <v>475</v>
      </c>
      <c r="F138" s="379" t="s">
        <v>516</v>
      </c>
      <c r="G138" s="427">
        <v>611</v>
      </c>
      <c r="H138" s="407"/>
      <c r="I138" s="407"/>
      <c r="J138" s="407"/>
      <c r="K138" s="407"/>
      <c r="L138" s="407"/>
      <c r="M138" s="407"/>
      <c r="N138" s="407">
        <v>282.8</v>
      </c>
      <c r="O138" s="407">
        <v>0</v>
      </c>
      <c r="P138" s="407">
        <v>0</v>
      </c>
      <c r="Q138" s="407">
        <f t="shared" si="13"/>
        <v>0</v>
      </c>
      <c r="R138" s="407">
        <f t="shared" si="12"/>
        <v>0</v>
      </c>
      <c r="S138" s="407">
        <f t="shared" si="12"/>
        <v>0</v>
      </c>
      <c r="T138" s="374">
        <f t="shared" si="11"/>
        <v>282.8</v>
      </c>
      <c r="U138" s="34"/>
    </row>
    <row r="139" spans="1:23" ht="35.1" customHeight="1" x14ac:dyDescent="0.25">
      <c r="A139" s="431"/>
      <c r="B139" s="382"/>
      <c r="C139" s="69"/>
      <c r="D139" s="414" t="s">
        <v>18</v>
      </c>
      <c r="E139" s="414" t="s">
        <v>475</v>
      </c>
      <c r="F139" s="432" t="s">
        <v>517</v>
      </c>
      <c r="G139" s="427">
        <v>612</v>
      </c>
      <c r="H139" s="407"/>
      <c r="I139" s="407"/>
      <c r="J139" s="407"/>
      <c r="K139" s="407"/>
      <c r="L139" s="407">
        <v>1000</v>
      </c>
      <c r="M139" s="407"/>
      <c r="N139" s="407"/>
      <c r="O139" s="407">
        <v>0</v>
      </c>
      <c r="P139" s="407">
        <f t="shared" si="14"/>
        <v>0</v>
      </c>
      <c r="Q139" s="407">
        <f t="shared" si="13"/>
        <v>0</v>
      </c>
      <c r="R139" s="407">
        <f t="shared" si="12"/>
        <v>0</v>
      </c>
      <c r="S139" s="407">
        <f t="shared" si="12"/>
        <v>0</v>
      </c>
      <c r="T139" s="374">
        <f t="shared" si="11"/>
        <v>1000</v>
      </c>
      <c r="U139" s="34"/>
    </row>
    <row r="140" spans="1:23" ht="35.1" customHeight="1" x14ac:dyDescent="0.25">
      <c r="A140" s="431"/>
      <c r="B140" s="382"/>
      <c r="C140" s="69"/>
      <c r="D140" s="414" t="s">
        <v>18</v>
      </c>
      <c r="E140" s="414" t="s">
        <v>475</v>
      </c>
      <c r="F140" s="432" t="s">
        <v>518</v>
      </c>
      <c r="G140" s="427">
        <v>612</v>
      </c>
      <c r="H140" s="407"/>
      <c r="I140" s="407"/>
      <c r="J140" s="407"/>
      <c r="K140" s="407"/>
      <c r="L140" s="407">
        <v>50</v>
      </c>
      <c r="M140" s="407"/>
      <c r="N140" s="407"/>
      <c r="O140" s="407">
        <v>0</v>
      </c>
      <c r="P140" s="407">
        <f t="shared" si="14"/>
        <v>0</v>
      </c>
      <c r="Q140" s="407">
        <f t="shared" si="13"/>
        <v>0</v>
      </c>
      <c r="R140" s="407">
        <f t="shared" si="12"/>
        <v>0</v>
      </c>
      <c r="S140" s="407">
        <f t="shared" si="12"/>
        <v>0</v>
      </c>
      <c r="T140" s="374">
        <f t="shared" si="11"/>
        <v>50</v>
      </c>
      <c r="U140" s="34"/>
    </row>
    <row r="141" spans="1:23" ht="35.1" customHeight="1" x14ac:dyDescent="0.25">
      <c r="A141" s="431"/>
      <c r="B141" s="382"/>
      <c r="C141" s="69"/>
      <c r="D141" s="414" t="s">
        <v>18</v>
      </c>
      <c r="E141" s="414" t="s">
        <v>475</v>
      </c>
      <c r="F141" s="432" t="s">
        <v>480</v>
      </c>
      <c r="G141" s="427">
        <v>611</v>
      </c>
      <c r="H141" s="407"/>
      <c r="I141" s="407"/>
      <c r="J141" s="407"/>
      <c r="K141" s="407"/>
      <c r="L141" s="407"/>
      <c r="M141" s="407">
        <v>94.7</v>
      </c>
      <c r="N141" s="407"/>
      <c r="O141" s="407">
        <v>0</v>
      </c>
      <c r="P141" s="407">
        <f t="shared" si="14"/>
        <v>0</v>
      </c>
      <c r="Q141" s="407">
        <f t="shared" si="13"/>
        <v>0</v>
      </c>
      <c r="R141" s="407">
        <f t="shared" si="12"/>
        <v>0</v>
      </c>
      <c r="S141" s="407">
        <f t="shared" si="12"/>
        <v>0</v>
      </c>
      <c r="T141" s="374">
        <f t="shared" si="11"/>
        <v>94.7</v>
      </c>
      <c r="U141" s="34"/>
    </row>
    <row r="142" spans="1:23" ht="35.1" customHeight="1" x14ac:dyDescent="0.25">
      <c r="A142" s="431"/>
      <c r="B142" s="384"/>
      <c r="C142" s="69"/>
      <c r="D142" s="414" t="s">
        <v>18</v>
      </c>
      <c r="E142" s="414" t="s">
        <v>475</v>
      </c>
      <c r="F142" s="432" t="s">
        <v>519</v>
      </c>
      <c r="G142" s="427">
        <v>611</v>
      </c>
      <c r="H142" s="407"/>
      <c r="I142" s="407"/>
      <c r="J142" s="407"/>
      <c r="K142" s="407"/>
      <c r="L142" s="407"/>
      <c r="M142" s="407">
        <v>75.8</v>
      </c>
      <c r="N142" s="407"/>
      <c r="O142" s="407">
        <v>0</v>
      </c>
      <c r="P142" s="407">
        <v>0</v>
      </c>
      <c r="Q142" s="407">
        <f t="shared" si="13"/>
        <v>0</v>
      </c>
      <c r="R142" s="407">
        <f t="shared" si="12"/>
        <v>0</v>
      </c>
      <c r="S142" s="407">
        <f t="shared" si="12"/>
        <v>0</v>
      </c>
      <c r="T142" s="374">
        <f t="shared" si="11"/>
        <v>75.8</v>
      </c>
      <c r="U142" s="34"/>
    </row>
    <row r="143" spans="1:23" ht="35.1" customHeight="1" x14ac:dyDescent="0.25">
      <c r="A143" s="431"/>
      <c r="B143" s="434"/>
      <c r="C143" s="69"/>
      <c r="D143" s="414" t="s">
        <v>18</v>
      </c>
      <c r="E143" s="414" t="s">
        <v>475</v>
      </c>
      <c r="F143" s="432" t="s">
        <v>481</v>
      </c>
      <c r="G143" s="427">
        <v>611</v>
      </c>
      <c r="H143" s="407"/>
      <c r="I143" s="407"/>
      <c r="J143" s="407"/>
      <c r="K143" s="407"/>
      <c r="L143" s="407"/>
      <c r="M143" s="407"/>
      <c r="N143" s="407">
        <v>61.1</v>
      </c>
      <c r="O143" s="407">
        <v>0</v>
      </c>
      <c r="P143" s="407">
        <v>0</v>
      </c>
      <c r="Q143" s="407">
        <v>0</v>
      </c>
      <c r="R143" s="407">
        <f t="shared" si="12"/>
        <v>0</v>
      </c>
      <c r="S143" s="407">
        <f t="shared" si="12"/>
        <v>0</v>
      </c>
      <c r="T143" s="374">
        <f t="shared" si="11"/>
        <v>61.1</v>
      </c>
      <c r="U143" s="34"/>
    </row>
    <row r="144" spans="1:23" ht="51.75" customHeight="1" x14ac:dyDescent="0.25">
      <c r="A144" s="431"/>
      <c r="B144" s="396" t="s">
        <v>520</v>
      </c>
      <c r="C144" s="69"/>
      <c r="D144" s="414" t="s">
        <v>18</v>
      </c>
      <c r="E144" s="414" t="s">
        <v>475</v>
      </c>
      <c r="F144" s="414" t="s">
        <v>15</v>
      </c>
      <c r="G144" s="371" t="s">
        <v>15</v>
      </c>
      <c r="H144" s="407">
        <f>959+71.4+16.6</f>
        <v>1047</v>
      </c>
      <c r="I144" s="407">
        <v>1619.2</v>
      </c>
      <c r="J144" s="407">
        <v>1279</v>
      </c>
      <c r="K144" s="407">
        <v>1279</v>
      </c>
      <c r="L144" s="407">
        <f>2009.3+22</f>
        <v>2031.3</v>
      </c>
      <c r="M144" s="407">
        <v>1418.7</v>
      </c>
      <c r="N144" s="407">
        <v>627.1</v>
      </c>
      <c r="O144" s="407">
        <v>1711.5</v>
      </c>
      <c r="P144" s="407">
        <v>2199.3000000000002</v>
      </c>
      <c r="Q144" s="407">
        <v>2217.9</v>
      </c>
      <c r="R144" s="407">
        <v>1539.5</v>
      </c>
      <c r="S144" s="407">
        <f t="shared" si="12"/>
        <v>1539.5</v>
      </c>
      <c r="T144" s="374">
        <f t="shared" si="11"/>
        <v>18509</v>
      </c>
      <c r="U144" s="34"/>
    </row>
    <row r="145" spans="1:21" ht="68.45" customHeight="1" x14ac:dyDescent="0.25">
      <c r="A145" s="435" t="s">
        <v>521</v>
      </c>
      <c r="B145" s="424" t="s">
        <v>522</v>
      </c>
      <c r="C145" s="369" t="s">
        <v>523</v>
      </c>
      <c r="D145" s="432" t="s">
        <v>18</v>
      </c>
      <c r="E145" s="432" t="s">
        <v>384</v>
      </c>
      <c r="F145" s="432" t="s">
        <v>508</v>
      </c>
      <c r="G145" s="371">
        <v>612</v>
      </c>
      <c r="H145" s="407"/>
      <c r="I145" s="407">
        <v>49.6</v>
      </c>
      <c r="J145" s="407">
        <v>63.5</v>
      </c>
      <c r="K145" s="436"/>
      <c r="L145" s="436"/>
      <c r="M145" s="436"/>
      <c r="N145" s="436"/>
      <c r="O145" s="436">
        <v>0</v>
      </c>
      <c r="P145" s="407">
        <f t="shared" si="14"/>
        <v>0</v>
      </c>
      <c r="Q145" s="407">
        <f t="shared" si="13"/>
        <v>0</v>
      </c>
      <c r="R145" s="407">
        <f t="shared" si="12"/>
        <v>0</v>
      </c>
      <c r="S145" s="407">
        <f t="shared" si="12"/>
        <v>0</v>
      </c>
      <c r="T145" s="374">
        <f t="shared" si="11"/>
        <v>113.1</v>
      </c>
      <c r="U145" s="424" t="s">
        <v>524</v>
      </c>
    </row>
    <row r="146" spans="1:21" ht="61.5" customHeight="1" x14ac:dyDescent="0.25">
      <c r="A146" s="435"/>
      <c r="B146" s="424"/>
      <c r="C146" s="369"/>
      <c r="D146" s="432" t="s">
        <v>18</v>
      </c>
      <c r="E146" s="432" t="s">
        <v>384</v>
      </c>
      <c r="F146" s="432" t="s">
        <v>508</v>
      </c>
      <c r="G146" s="371">
        <v>244</v>
      </c>
      <c r="H146" s="407">
        <v>59.6</v>
      </c>
      <c r="I146" s="407">
        <v>10</v>
      </c>
      <c r="J146" s="407">
        <v>10</v>
      </c>
      <c r="K146" s="436"/>
      <c r="L146" s="436"/>
      <c r="M146" s="436"/>
      <c r="N146" s="436"/>
      <c r="O146" s="436">
        <v>0</v>
      </c>
      <c r="P146" s="407">
        <f t="shared" si="14"/>
        <v>0</v>
      </c>
      <c r="Q146" s="407">
        <f t="shared" si="13"/>
        <v>0</v>
      </c>
      <c r="R146" s="407">
        <f t="shared" si="12"/>
        <v>0</v>
      </c>
      <c r="S146" s="407">
        <f t="shared" si="12"/>
        <v>0</v>
      </c>
      <c r="T146" s="374">
        <f t="shared" si="11"/>
        <v>79.599999999999994</v>
      </c>
      <c r="U146" s="424"/>
    </row>
    <row r="147" spans="1:21" ht="42.75" customHeight="1" x14ac:dyDescent="0.25">
      <c r="A147" s="437" t="s">
        <v>525</v>
      </c>
      <c r="B147" s="424" t="s">
        <v>526</v>
      </c>
      <c r="C147" s="369" t="s">
        <v>17</v>
      </c>
      <c r="D147" s="432" t="s">
        <v>18</v>
      </c>
      <c r="E147" s="432" t="s">
        <v>341</v>
      </c>
      <c r="F147" s="432" t="s">
        <v>527</v>
      </c>
      <c r="G147" s="371">
        <v>244</v>
      </c>
      <c r="H147" s="407">
        <v>31.4</v>
      </c>
      <c r="I147" s="407"/>
      <c r="J147" s="407"/>
      <c r="K147" s="407"/>
      <c r="L147" s="407"/>
      <c r="M147" s="407"/>
      <c r="N147" s="407"/>
      <c r="O147" s="407">
        <v>0</v>
      </c>
      <c r="P147" s="407">
        <f t="shared" si="14"/>
        <v>0</v>
      </c>
      <c r="Q147" s="407">
        <f t="shared" si="13"/>
        <v>0</v>
      </c>
      <c r="R147" s="407">
        <f t="shared" si="12"/>
        <v>0</v>
      </c>
      <c r="S147" s="407">
        <f t="shared" si="12"/>
        <v>0</v>
      </c>
      <c r="T147" s="374">
        <f t="shared" si="11"/>
        <v>31.4</v>
      </c>
      <c r="U147" s="424" t="s">
        <v>528</v>
      </c>
    </row>
    <row r="148" spans="1:21" ht="25.15" customHeight="1" x14ac:dyDescent="0.25">
      <c r="A148" s="437"/>
      <c r="B148" s="424"/>
      <c r="C148" s="369"/>
      <c r="D148" s="432" t="s">
        <v>18</v>
      </c>
      <c r="E148" s="432" t="s">
        <v>384</v>
      </c>
      <c r="F148" s="432" t="s">
        <v>508</v>
      </c>
      <c r="G148" s="371">
        <v>612</v>
      </c>
      <c r="H148" s="407">
        <v>16</v>
      </c>
      <c r="I148" s="407">
        <v>47.1</v>
      </c>
      <c r="J148" s="407">
        <v>72.5</v>
      </c>
      <c r="K148" s="436"/>
      <c r="L148" s="436"/>
      <c r="M148" s="436"/>
      <c r="N148" s="436"/>
      <c r="O148" s="436">
        <v>0</v>
      </c>
      <c r="P148" s="407">
        <f t="shared" si="14"/>
        <v>0</v>
      </c>
      <c r="Q148" s="407">
        <f t="shared" si="13"/>
        <v>0</v>
      </c>
      <c r="R148" s="407">
        <f t="shared" si="12"/>
        <v>0</v>
      </c>
      <c r="S148" s="407">
        <f t="shared" si="12"/>
        <v>0</v>
      </c>
      <c r="T148" s="374">
        <f t="shared" si="11"/>
        <v>135.6</v>
      </c>
      <c r="U148" s="424"/>
    </row>
    <row r="149" spans="1:21" ht="60.75" hidden="1" customHeight="1" x14ac:dyDescent="0.25">
      <c r="A149" s="438" t="s">
        <v>529</v>
      </c>
      <c r="B149" s="398" t="s">
        <v>530</v>
      </c>
      <c r="C149" s="371" t="s">
        <v>17</v>
      </c>
      <c r="D149" s="432">
        <v>975</v>
      </c>
      <c r="E149" s="432" t="s">
        <v>489</v>
      </c>
      <c r="F149" s="432" t="s">
        <v>15</v>
      </c>
      <c r="G149" s="414" t="s">
        <v>15</v>
      </c>
      <c r="H149" s="407">
        <v>0</v>
      </c>
      <c r="I149" s="407">
        <v>0</v>
      </c>
      <c r="J149" s="407">
        <v>0</v>
      </c>
      <c r="K149" s="407"/>
      <c r="L149" s="407"/>
      <c r="M149" s="407"/>
      <c r="N149" s="407"/>
      <c r="O149" s="407"/>
      <c r="P149" s="407">
        <f t="shared" si="14"/>
        <v>0</v>
      </c>
      <c r="Q149" s="407">
        <f t="shared" si="13"/>
        <v>0</v>
      </c>
      <c r="R149" s="407">
        <f t="shared" si="12"/>
        <v>0</v>
      </c>
      <c r="S149" s="407">
        <f t="shared" si="12"/>
        <v>0</v>
      </c>
      <c r="T149" s="374">
        <f t="shared" si="11"/>
        <v>0</v>
      </c>
      <c r="U149" s="439" t="s">
        <v>531</v>
      </c>
    </row>
    <row r="150" spans="1:21" ht="102.75" hidden="1" customHeight="1" x14ac:dyDescent="0.25">
      <c r="A150" s="438"/>
      <c r="B150" s="398"/>
      <c r="C150" s="371" t="s">
        <v>532</v>
      </c>
      <c r="D150" s="432">
        <v>964</v>
      </c>
      <c r="E150" s="432" t="s">
        <v>489</v>
      </c>
      <c r="F150" s="432" t="s">
        <v>15</v>
      </c>
      <c r="G150" s="440" t="s">
        <v>15</v>
      </c>
      <c r="H150" s="407">
        <v>0</v>
      </c>
      <c r="I150" s="407">
        <v>0</v>
      </c>
      <c r="J150" s="407">
        <v>0</v>
      </c>
      <c r="K150" s="407"/>
      <c r="L150" s="407"/>
      <c r="M150" s="407"/>
      <c r="N150" s="407"/>
      <c r="O150" s="407"/>
      <c r="P150" s="407">
        <f t="shared" si="14"/>
        <v>0</v>
      </c>
      <c r="Q150" s="407">
        <f t="shared" si="13"/>
        <v>0</v>
      </c>
      <c r="R150" s="407">
        <f t="shared" si="12"/>
        <v>0</v>
      </c>
      <c r="S150" s="407">
        <f t="shared" si="12"/>
        <v>0</v>
      </c>
      <c r="T150" s="374">
        <f t="shared" si="11"/>
        <v>0</v>
      </c>
      <c r="U150" s="439"/>
    </row>
    <row r="151" spans="1:21" ht="70.5" hidden="1" customHeight="1" x14ac:dyDescent="0.25">
      <c r="A151" s="438"/>
      <c r="B151" s="398"/>
      <c r="C151" s="371" t="s">
        <v>533</v>
      </c>
      <c r="D151" s="432">
        <v>956</v>
      </c>
      <c r="E151" s="432" t="s">
        <v>534</v>
      </c>
      <c r="F151" s="432" t="s">
        <v>15</v>
      </c>
      <c r="G151" s="440" t="s">
        <v>15</v>
      </c>
      <c r="H151" s="407">
        <v>0</v>
      </c>
      <c r="I151" s="407">
        <v>0</v>
      </c>
      <c r="J151" s="407">
        <v>0</v>
      </c>
      <c r="K151" s="407"/>
      <c r="L151" s="407"/>
      <c r="M151" s="407"/>
      <c r="N151" s="407"/>
      <c r="O151" s="407"/>
      <c r="P151" s="407">
        <f t="shared" si="14"/>
        <v>0</v>
      </c>
      <c r="Q151" s="407">
        <f t="shared" si="13"/>
        <v>0</v>
      </c>
      <c r="R151" s="407">
        <f t="shared" si="12"/>
        <v>0</v>
      </c>
      <c r="S151" s="407">
        <f t="shared" si="12"/>
        <v>0</v>
      </c>
      <c r="T151" s="374">
        <f t="shared" si="11"/>
        <v>0</v>
      </c>
      <c r="U151" s="439"/>
    </row>
    <row r="152" spans="1:21" ht="66" customHeight="1" x14ac:dyDescent="0.25">
      <c r="A152" s="419" t="s">
        <v>529</v>
      </c>
      <c r="B152" s="371" t="s">
        <v>535</v>
      </c>
      <c r="C152" s="371" t="s">
        <v>536</v>
      </c>
      <c r="D152" s="432" t="s">
        <v>18</v>
      </c>
      <c r="E152" s="432" t="s">
        <v>341</v>
      </c>
      <c r="F152" s="432" t="s">
        <v>527</v>
      </c>
      <c r="G152" s="414" t="s">
        <v>537</v>
      </c>
      <c r="H152" s="407">
        <v>114.4</v>
      </c>
      <c r="I152" s="407">
        <v>166.8</v>
      </c>
      <c r="J152" s="407">
        <v>0</v>
      </c>
      <c r="K152" s="436"/>
      <c r="L152" s="436"/>
      <c r="M152" s="436"/>
      <c r="N152" s="436"/>
      <c r="O152" s="436">
        <v>0</v>
      </c>
      <c r="P152" s="407">
        <f t="shared" si="14"/>
        <v>0</v>
      </c>
      <c r="Q152" s="407">
        <f t="shared" si="13"/>
        <v>0</v>
      </c>
      <c r="R152" s="407">
        <f t="shared" si="12"/>
        <v>0</v>
      </c>
      <c r="S152" s="407">
        <f t="shared" si="12"/>
        <v>0</v>
      </c>
      <c r="T152" s="374">
        <f t="shared" si="11"/>
        <v>281.20000000000005</v>
      </c>
      <c r="U152" s="371" t="s">
        <v>538</v>
      </c>
    </row>
    <row r="153" spans="1:21" ht="50.45" customHeight="1" x14ac:dyDescent="0.25">
      <c r="A153" s="419" t="s">
        <v>539</v>
      </c>
      <c r="B153" s="371" t="s">
        <v>540</v>
      </c>
      <c r="C153" s="371" t="s">
        <v>17</v>
      </c>
      <c r="D153" s="432" t="s">
        <v>18</v>
      </c>
      <c r="E153" s="432" t="s">
        <v>384</v>
      </c>
      <c r="F153" s="432" t="s">
        <v>541</v>
      </c>
      <c r="G153" s="385">
        <v>612</v>
      </c>
      <c r="H153" s="407">
        <v>5</v>
      </c>
      <c r="I153" s="407"/>
      <c r="J153" s="407"/>
      <c r="K153" s="407"/>
      <c r="L153" s="407"/>
      <c r="M153" s="407"/>
      <c r="N153" s="407"/>
      <c r="O153" s="407">
        <v>0</v>
      </c>
      <c r="P153" s="407">
        <f t="shared" si="14"/>
        <v>0</v>
      </c>
      <c r="Q153" s="407">
        <f t="shared" si="13"/>
        <v>0</v>
      </c>
      <c r="R153" s="407">
        <f t="shared" si="12"/>
        <v>0</v>
      </c>
      <c r="S153" s="407">
        <f t="shared" si="12"/>
        <v>0</v>
      </c>
      <c r="T153" s="374">
        <f t="shared" si="11"/>
        <v>5</v>
      </c>
      <c r="U153" s="441"/>
    </row>
    <row r="154" spans="1:21" ht="50.45" customHeight="1" x14ac:dyDescent="0.25">
      <c r="A154" s="442" t="s">
        <v>542</v>
      </c>
      <c r="B154" s="399" t="s">
        <v>543</v>
      </c>
      <c r="C154" s="68" t="s">
        <v>544</v>
      </c>
      <c r="D154" s="414" t="s">
        <v>18</v>
      </c>
      <c r="E154" s="414" t="s">
        <v>475</v>
      </c>
      <c r="F154" s="432" t="s">
        <v>545</v>
      </c>
      <c r="G154" s="427">
        <v>611</v>
      </c>
      <c r="H154" s="407"/>
      <c r="I154" s="407"/>
      <c r="J154" s="407"/>
      <c r="K154" s="407"/>
      <c r="L154" s="407"/>
      <c r="M154" s="407"/>
      <c r="N154" s="407">
        <v>3287.3</v>
      </c>
      <c r="O154" s="407">
        <v>7227.6</v>
      </c>
      <c r="P154" s="407">
        <v>7957.7</v>
      </c>
      <c r="Q154" s="433">
        <v>5994.2</v>
      </c>
      <c r="R154" s="407">
        <v>10487.2</v>
      </c>
      <c r="S154" s="407">
        <v>10487.2</v>
      </c>
      <c r="T154" s="374">
        <f t="shared" si="11"/>
        <v>45441.2</v>
      </c>
      <c r="U154" s="441"/>
    </row>
    <row r="155" spans="1:21" ht="50.45" customHeight="1" x14ac:dyDescent="0.25">
      <c r="A155" s="443"/>
      <c r="B155" s="444"/>
      <c r="C155" s="70"/>
      <c r="D155" s="414" t="s">
        <v>18</v>
      </c>
      <c r="E155" s="414" t="s">
        <v>475</v>
      </c>
      <c r="F155" s="432" t="s">
        <v>545</v>
      </c>
      <c r="G155" s="427">
        <v>614</v>
      </c>
      <c r="H155" s="407"/>
      <c r="I155" s="407"/>
      <c r="J155" s="407"/>
      <c r="K155" s="407"/>
      <c r="L155" s="407"/>
      <c r="M155" s="407"/>
      <c r="N155" s="407"/>
      <c r="O155" s="407"/>
      <c r="P155" s="407"/>
      <c r="Q155" s="433">
        <v>4751.3</v>
      </c>
      <c r="R155" s="407"/>
      <c r="S155" s="407"/>
      <c r="T155" s="374"/>
      <c r="U155" s="441"/>
    </row>
    <row r="156" spans="1:21" ht="50.45" customHeight="1" x14ac:dyDescent="0.25">
      <c r="A156" s="443"/>
      <c r="B156" s="444"/>
      <c r="C156" s="70"/>
      <c r="D156" s="414" t="s">
        <v>18</v>
      </c>
      <c r="E156" s="414" t="s">
        <v>475</v>
      </c>
      <c r="F156" s="432" t="s">
        <v>545</v>
      </c>
      <c r="G156" s="427">
        <v>613</v>
      </c>
      <c r="H156" s="407"/>
      <c r="I156" s="407"/>
      <c r="J156" s="407"/>
      <c r="K156" s="407"/>
      <c r="L156" s="407"/>
      <c r="M156" s="407"/>
      <c r="N156" s="407"/>
      <c r="O156" s="407">
        <v>0</v>
      </c>
      <c r="P156" s="407">
        <v>0</v>
      </c>
      <c r="Q156" s="433">
        <v>55.1</v>
      </c>
      <c r="R156" s="407">
        <v>180.3</v>
      </c>
      <c r="S156" s="407">
        <f t="shared" si="12"/>
        <v>180.3</v>
      </c>
      <c r="T156" s="374">
        <f t="shared" si="11"/>
        <v>415.70000000000005</v>
      </c>
      <c r="U156" s="441"/>
    </row>
    <row r="157" spans="1:21" ht="50.45" customHeight="1" x14ac:dyDescent="0.25">
      <c r="A157" s="443"/>
      <c r="B157" s="444"/>
      <c r="C157" s="70"/>
      <c r="D157" s="414" t="s">
        <v>18</v>
      </c>
      <c r="E157" s="414" t="s">
        <v>475</v>
      </c>
      <c r="F157" s="432" t="s">
        <v>545</v>
      </c>
      <c r="G157" s="427">
        <v>615</v>
      </c>
      <c r="H157" s="407"/>
      <c r="I157" s="407"/>
      <c r="J157" s="407"/>
      <c r="K157" s="407"/>
      <c r="L157" s="407"/>
      <c r="M157" s="407"/>
      <c r="N157" s="407"/>
      <c r="O157" s="407"/>
      <c r="P157" s="407"/>
      <c r="Q157" s="433">
        <v>55.2</v>
      </c>
      <c r="R157" s="407"/>
      <c r="S157" s="407"/>
      <c r="T157" s="374"/>
      <c r="U157" s="441"/>
    </row>
    <row r="158" spans="1:21" ht="50.45" customHeight="1" x14ac:dyDescent="0.25">
      <c r="A158" s="443"/>
      <c r="B158" s="444"/>
      <c r="C158" s="70"/>
      <c r="D158" s="414" t="s">
        <v>18</v>
      </c>
      <c r="E158" s="414" t="s">
        <v>475</v>
      </c>
      <c r="F158" s="432" t="s">
        <v>545</v>
      </c>
      <c r="G158" s="427">
        <v>623</v>
      </c>
      <c r="H158" s="407"/>
      <c r="I158" s="407"/>
      <c r="J158" s="407"/>
      <c r="K158" s="407"/>
      <c r="L158" s="407"/>
      <c r="M158" s="407"/>
      <c r="N158" s="407"/>
      <c r="O158" s="407">
        <v>0</v>
      </c>
      <c r="P158" s="407">
        <v>0</v>
      </c>
      <c r="Q158" s="433">
        <v>55.1</v>
      </c>
      <c r="R158" s="407">
        <v>180.3</v>
      </c>
      <c r="S158" s="407">
        <v>180.3</v>
      </c>
      <c r="T158" s="374">
        <f t="shared" si="11"/>
        <v>415.70000000000005</v>
      </c>
      <c r="U158" s="441"/>
    </row>
    <row r="159" spans="1:21" ht="50.45" customHeight="1" x14ac:dyDescent="0.25">
      <c r="A159" s="443"/>
      <c r="B159" s="444"/>
      <c r="C159" s="70"/>
      <c r="D159" s="414" t="s">
        <v>18</v>
      </c>
      <c r="E159" s="414" t="s">
        <v>475</v>
      </c>
      <c r="F159" s="432" t="s">
        <v>545</v>
      </c>
      <c r="G159" s="427">
        <v>625</v>
      </c>
      <c r="H159" s="407"/>
      <c r="I159" s="407"/>
      <c r="J159" s="407"/>
      <c r="K159" s="407"/>
      <c r="L159" s="407"/>
      <c r="M159" s="407"/>
      <c r="N159" s="407"/>
      <c r="O159" s="407"/>
      <c r="P159" s="407"/>
      <c r="Q159" s="433">
        <v>55.2</v>
      </c>
      <c r="R159" s="407"/>
      <c r="S159" s="407"/>
      <c r="T159" s="374"/>
      <c r="U159" s="441"/>
    </row>
    <row r="160" spans="1:21" ht="50.45" customHeight="1" x14ac:dyDescent="0.25">
      <c r="A160" s="443"/>
      <c r="B160" s="444"/>
      <c r="C160" s="70"/>
      <c r="D160" s="414" t="s">
        <v>18</v>
      </c>
      <c r="E160" s="414" t="s">
        <v>475</v>
      </c>
      <c r="F160" s="432" t="s">
        <v>545</v>
      </c>
      <c r="G160" s="427">
        <v>633</v>
      </c>
      <c r="H160" s="407"/>
      <c r="I160" s="407"/>
      <c r="J160" s="407"/>
      <c r="K160" s="407"/>
      <c r="L160" s="407"/>
      <c r="M160" s="407"/>
      <c r="N160" s="407"/>
      <c r="O160" s="407">
        <v>0</v>
      </c>
      <c r="P160" s="407">
        <v>0</v>
      </c>
      <c r="Q160" s="433">
        <v>55.1</v>
      </c>
      <c r="R160" s="407">
        <v>180.3</v>
      </c>
      <c r="S160" s="407">
        <f t="shared" si="12"/>
        <v>180.3</v>
      </c>
      <c r="T160" s="374">
        <f t="shared" si="11"/>
        <v>415.70000000000005</v>
      </c>
      <c r="U160" s="441"/>
    </row>
    <row r="161" spans="1:21" ht="50.45" customHeight="1" x14ac:dyDescent="0.25">
      <c r="A161" s="443"/>
      <c r="B161" s="444"/>
      <c r="C161" s="70"/>
      <c r="D161" s="414" t="s">
        <v>18</v>
      </c>
      <c r="E161" s="414" t="s">
        <v>475</v>
      </c>
      <c r="F161" s="432" t="s">
        <v>545</v>
      </c>
      <c r="G161" s="427">
        <v>635</v>
      </c>
      <c r="H161" s="407"/>
      <c r="I161" s="407"/>
      <c r="J161" s="407"/>
      <c r="K161" s="407"/>
      <c r="L161" s="407"/>
      <c r="M161" s="407"/>
      <c r="N161" s="407"/>
      <c r="O161" s="407"/>
      <c r="P161" s="407"/>
      <c r="Q161" s="433">
        <v>55.2</v>
      </c>
      <c r="R161" s="407"/>
      <c r="S161" s="407"/>
      <c r="T161" s="374"/>
      <c r="U161" s="441"/>
    </row>
    <row r="162" spans="1:21" ht="50.45" customHeight="1" x14ac:dyDescent="0.25">
      <c r="A162" s="443"/>
      <c r="B162" s="444"/>
      <c r="C162" s="70"/>
      <c r="D162" s="414" t="s">
        <v>18</v>
      </c>
      <c r="E162" s="414" t="s">
        <v>475</v>
      </c>
      <c r="F162" s="432" t="s">
        <v>545</v>
      </c>
      <c r="G162" s="427">
        <v>813</v>
      </c>
      <c r="H162" s="407"/>
      <c r="I162" s="407"/>
      <c r="J162" s="407"/>
      <c r="K162" s="407"/>
      <c r="L162" s="407"/>
      <c r="M162" s="407"/>
      <c r="N162" s="407"/>
      <c r="O162" s="407">
        <v>0</v>
      </c>
      <c r="P162" s="407">
        <v>0</v>
      </c>
      <c r="Q162" s="433">
        <v>55.1</v>
      </c>
      <c r="R162" s="407">
        <v>180.3</v>
      </c>
      <c r="S162" s="407">
        <f t="shared" si="12"/>
        <v>180.3</v>
      </c>
      <c r="T162" s="374">
        <f t="shared" si="11"/>
        <v>415.70000000000005</v>
      </c>
      <c r="U162" s="441"/>
    </row>
    <row r="163" spans="1:21" ht="50.45" customHeight="1" x14ac:dyDescent="0.25">
      <c r="A163" s="443"/>
      <c r="B163" s="444"/>
      <c r="C163" s="255"/>
      <c r="D163" s="414" t="s">
        <v>18</v>
      </c>
      <c r="E163" s="414" t="s">
        <v>475</v>
      </c>
      <c r="F163" s="432" t="s">
        <v>545</v>
      </c>
      <c r="G163" s="427">
        <v>816</v>
      </c>
      <c r="H163" s="407"/>
      <c r="I163" s="407"/>
      <c r="J163" s="407"/>
      <c r="K163" s="407"/>
      <c r="L163" s="407"/>
      <c r="M163" s="407"/>
      <c r="N163" s="407"/>
      <c r="O163" s="407"/>
      <c r="P163" s="407"/>
      <c r="Q163" s="433">
        <v>55.2</v>
      </c>
      <c r="R163" s="407"/>
      <c r="S163" s="407"/>
      <c r="T163" s="374"/>
      <c r="U163" s="441"/>
    </row>
    <row r="164" spans="1:21" ht="97.9" customHeight="1" x14ac:dyDescent="0.25">
      <c r="A164" s="445"/>
      <c r="B164" s="400"/>
      <c r="C164" s="13" t="s">
        <v>546</v>
      </c>
      <c r="D164" s="414" t="s">
        <v>547</v>
      </c>
      <c r="E164" s="414" t="s">
        <v>475</v>
      </c>
      <c r="F164" s="432" t="s">
        <v>548</v>
      </c>
      <c r="G164" s="427">
        <v>611</v>
      </c>
      <c r="H164" s="407"/>
      <c r="I164" s="407"/>
      <c r="J164" s="407"/>
      <c r="K164" s="407"/>
      <c r="L164" s="407"/>
      <c r="M164" s="407"/>
      <c r="N164" s="407">
        <v>360.3</v>
      </c>
      <c r="O164" s="407">
        <v>0</v>
      </c>
      <c r="P164" s="407">
        <v>0</v>
      </c>
      <c r="Q164" s="407">
        <f t="shared" si="13"/>
        <v>0</v>
      </c>
      <c r="R164" s="407">
        <f t="shared" si="12"/>
        <v>0</v>
      </c>
      <c r="S164" s="407">
        <f t="shared" si="12"/>
        <v>0</v>
      </c>
      <c r="T164" s="374">
        <f t="shared" si="11"/>
        <v>360.3</v>
      </c>
      <c r="U164" s="441"/>
    </row>
    <row r="165" spans="1:21" ht="35.1" customHeight="1" x14ac:dyDescent="0.3">
      <c r="A165" s="446" t="s">
        <v>549</v>
      </c>
      <c r="B165" s="446"/>
      <c r="C165" s="447"/>
      <c r="D165" s="447"/>
      <c r="E165" s="447"/>
      <c r="F165" s="447"/>
      <c r="G165" s="447"/>
      <c r="H165" s="448">
        <f t="shared" ref="H165:M165" si="15">SUM(H129:H153)</f>
        <v>24540.200000000004</v>
      </c>
      <c r="I165" s="448">
        <f t="shared" si="15"/>
        <v>27318.799999999996</v>
      </c>
      <c r="J165" s="448">
        <f t="shared" si="15"/>
        <v>37615.9</v>
      </c>
      <c r="K165" s="448">
        <f t="shared" si="15"/>
        <v>34566.200000000004</v>
      </c>
      <c r="L165" s="448">
        <f t="shared" si="15"/>
        <v>32389.600000000002</v>
      </c>
      <c r="M165" s="448">
        <f t="shared" si="15"/>
        <v>33657</v>
      </c>
      <c r="N165" s="448">
        <f>SUM(N129:N164)</f>
        <v>35799.700000000004</v>
      </c>
      <c r="O165" s="448">
        <f>SUM(O129:O164)</f>
        <v>41952.799999999996</v>
      </c>
      <c r="P165" s="448">
        <f>SUM(P129:P164)</f>
        <v>47093.3</v>
      </c>
      <c r="Q165" s="448">
        <f>SUM(Q129:Q164)</f>
        <v>46946.899999999987</v>
      </c>
      <c r="R165" s="407">
        <f t="shared" si="12"/>
        <v>46946.899999999987</v>
      </c>
      <c r="S165" s="407">
        <f t="shared" si="12"/>
        <v>46946.899999999987</v>
      </c>
      <c r="T165" s="374">
        <f t="shared" si="11"/>
        <v>455774.1999999999</v>
      </c>
      <c r="U165" s="449"/>
    </row>
    <row r="166" spans="1:21" s="142" customFormat="1" ht="35.1" customHeight="1" x14ac:dyDescent="0.3">
      <c r="A166" s="446" t="s">
        <v>550</v>
      </c>
      <c r="B166" s="446"/>
      <c r="C166" s="450"/>
      <c r="D166" s="450"/>
      <c r="E166" s="450"/>
      <c r="F166" s="450"/>
      <c r="G166" s="450"/>
      <c r="H166" s="448">
        <f t="shared" ref="H166:N166" si="16">H165+H127+H64</f>
        <v>214621.90000000005</v>
      </c>
      <c r="I166" s="448">
        <f t="shared" si="16"/>
        <v>231479.1</v>
      </c>
      <c r="J166" s="448">
        <f t="shared" si="16"/>
        <v>252889.60000000001</v>
      </c>
      <c r="K166" s="448">
        <f t="shared" si="16"/>
        <v>262736.60000000003</v>
      </c>
      <c r="L166" s="448">
        <f t="shared" si="16"/>
        <v>275850</v>
      </c>
      <c r="M166" s="448">
        <f t="shared" si="16"/>
        <v>294091.1999999999</v>
      </c>
      <c r="N166" s="448">
        <f t="shared" si="16"/>
        <v>299894.2</v>
      </c>
      <c r="O166" s="448">
        <f>O165+O127+O64-0.2</f>
        <v>353643.99999999994</v>
      </c>
      <c r="P166" s="448">
        <f>P165+P127+P64</f>
        <v>407487.9</v>
      </c>
      <c r="Q166" s="448">
        <f>Q165+Q127+Q64</f>
        <v>433812.7</v>
      </c>
      <c r="R166" s="407">
        <f>R167+R169+R170+R168</f>
        <v>395171.3</v>
      </c>
      <c r="S166" s="407">
        <f>S167+S169+S170+S168</f>
        <v>395452.80000000005</v>
      </c>
      <c r="T166" s="374">
        <f t="shared" si="11"/>
        <v>3817131.3</v>
      </c>
      <c r="U166" s="451"/>
    </row>
    <row r="167" spans="1:21" s="142" customFormat="1" ht="35.1" customHeight="1" x14ac:dyDescent="0.3">
      <c r="A167" s="446" t="s">
        <v>325</v>
      </c>
      <c r="B167" s="446"/>
      <c r="C167" s="450"/>
      <c r="D167" s="450"/>
      <c r="E167" s="450"/>
      <c r="F167" s="450"/>
      <c r="G167" s="450"/>
      <c r="H167" s="448">
        <f>H7+H11+H12+H27+H28+H40+H42+H92+H93+H94+H96+H97+H99+H101+H102+H103+H104+H106+H114+H115</f>
        <v>109406.90000000001</v>
      </c>
      <c r="I167" s="448">
        <f>I7+I11+I12+I27+I28+I40+I42+I92+I93+I94+I96+I97+I99+I101+I102+I103+I104+I106+I114+I115</f>
        <v>113565.79999999999</v>
      </c>
      <c r="J167" s="448">
        <f>J7+J11+J12+J27+J28+J35+J36+J40+J42+J92+J93+J94+J96+J97+J99+J101+J102+J103+J104+J106+J114+J115</f>
        <v>149314.1</v>
      </c>
      <c r="K167" s="448">
        <f>K7+K11+K12+K27+K28+K40+K42+K92+K93+K94+K96+K97+K99+K101+K102+K103+K104+K105+K106+K114+K115+K100</f>
        <v>163921.20000000001</v>
      </c>
      <c r="L167" s="448">
        <f>L7+L11+L12+L27+L28+L40+L42+L92+L93+L94+L96+L97+L99+L101+L102+L103+L104+L105+L106+L114+L115+L137+L136+L113+L108+L107+L139+L21</f>
        <v>178896.09999999998</v>
      </c>
      <c r="M167" s="448">
        <f>M7+M11+M12+M27+M28+M40+M42+M92+M93+M94+M96+M97+M99+M101+M102+M103+M104+M105+M106+M114+M115+M95+M98+M136+M19+M21+M142+M137+M107+M108+M109+M110+M141</f>
        <v>189252.89999999994</v>
      </c>
      <c r="N167" s="448">
        <f>N11+N12+N27+N28+N30+N31++N32+N42+N43+N49+N56+N58+N60+N63+N89+N90+N94+N95+N97+N98+N104+N106+N107+N108+N111+N112+N136++N137+N138+N143-N168</f>
        <v>201386.3</v>
      </c>
      <c r="O167" s="448">
        <v>220168.3</v>
      </c>
      <c r="P167" s="448">
        <f>P11+P12+P13+P17+P27+P28+P30+P31++P32+P42+P89+P90+P91+P94+P95+P97+P98+P104+P106+P107+P108+P137-P168+P29+P63+P37+P38+P39</f>
        <v>265976.2</v>
      </c>
      <c r="Q167" s="448">
        <v>294468.7</v>
      </c>
      <c r="R167" s="448">
        <v>260383.9</v>
      </c>
      <c r="S167" s="448">
        <v>260769.2</v>
      </c>
      <c r="T167" s="374">
        <f t="shared" si="11"/>
        <v>2407509.6</v>
      </c>
      <c r="U167" s="451"/>
    </row>
    <row r="168" spans="1:21" s="142" customFormat="1" ht="35.1" customHeight="1" x14ac:dyDescent="0.3">
      <c r="A168" s="446" t="s">
        <v>551</v>
      </c>
      <c r="B168" s="446"/>
      <c r="C168" s="450"/>
      <c r="D168" s="450"/>
      <c r="E168" s="450"/>
      <c r="F168" s="450"/>
      <c r="G168" s="450"/>
      <c r="H168" s="448">
        <v>0</v>
      </c>
      <c r="I168" s="448">
        <v>0</v>
      </c>
      <c r="J168" s="448">
        <v>0</v>
      </c>
      <c r="K168" s="448">
        <v>0</v>
      </c>
      <c r="L168" s="448">
        <v>0</v>
      </c>
      <c r="M168" s="448">
        <v>0</v>
      </c>
      <c r="N168" s="448">
        <v>12598.6</v>
      </c>
      <c r="O168" s="448">
        <v>26440.1</v>
      </c>
      <c r="P168" s="448">
        <v>25380.799999999999</v>
      </c>
      <c r="Q168" s="448">
        <v>27239.4</v>
      </c>
      <c r="R168" s="448">
        <v>28928.799999999999</v>
      </c>
      <c r="S168" s="448">
        <v>28824.7</v>
      </c>
      <c r="T168" s="374">
        <f t="shared" si="11"/>
        <v>149412.4</v>
      </c>
      <c r="U168" s="451"/>
    </row>
    <row r="169" spans="1:21" s="142" customFormat="1" ht="35.1" customHeight="1" x14ac:dyDescent="0.3">
      <c r="A169" s="446" t="s">
        <v>346</v>
      </c>
      <c r="B169" s="446"/>
      <c r="C169" s="450"/>
      <c r="D169" s="450"/>
      <c r="E169" s="450"/>
      <c r="F169" s="450"/>
      <c r="G169" s="450"/>
      <c r="H169" s="448">
        <f>H8+H9+H15+H16+H41+H43+H44+H66+H67+H68+H73+H74+H77+H78+H79+H80+H81+H82+H83+H84+H85+H86+H87+H88+H125+H129+H132+H133+H134+H135+H152+H153+H146+H147+H148+H145</f>
        <v>103390.39999999999</v>
      </c>
      <c r="I169" s="448">
        <f>I8+I9+I15+I16+I41+I43+I44+I66+I67+I68+I73+I74+I77+I78+I79+I80+I81+I82+I83+I84+I85+I86+I87+I88+I125+I129+I132+I133+I134+I135+I152+I153+I146+I147+I148+I145</f>
        <v>115762.00000000001</v>
      </c>
      <c r="J169" s="448">
        <f>J8+J9+J15+J16+J41+J43+J44+J66+J67+J68+J73+J74+J77+J78+J79+J80+J81+J82+J83+J84+J85+J86+J87+J88+J125+J129+J132+J133+J134+J135+J152+J153+J146+J147+J148+J145</f>
        <v>101282.7</v>
      </c>
      <c r="K169" s="448">
        <f>K8+K9+K15+K16+K41+K43+K44+K66+K67+K68+K73+K74+K77+K78+K79+K80+K81+K82+K83+K84+K85+K86+K87+K88+K125+K129+K132+K133+K134+K135+K152+K153+K146+K147+K148+K145+K123</f>
        <v>96522.60000000002</v>
      </c>
      <c r="L169" s="448">
        <f>L8+L9+L15+L16+L41+L43+L44+L66+L67+L68+L73+L74+L77+L78+L79+L80+L81+L82+L83+L84+L85+L86+L87+L88+L125+L129+L132+L133+L134+L135+L152+L153+L146+L147+L148+L145+L123+L22+L140+L10</f>
        <v>93843.599999999991</v>
      </c>
      <c r="M169" s="448">
        <f>M8+M9+M15+M16+M41+M43+M44+M66+M67+M68+M73+M74+M77+M78+M79+M80+M81+M82+M83+M84+M85+M86+M87+M88+M125+M129+M132+M133+M134+M135+M152+M153+M146+M147+M148+M145+M123+M20+M22+M23</f>
        <v>99156.3</v>
      </c>
      <c r="N169" s="448">
        <f>N8+N15+N16+N33+N44+N51+N57+N59+N61+N68+N74+N80+N81+N129+N133+N154+N164</f>
        <v>79096.100000000006</v>
      </c>
      <c r="O169" s="448">
        <f>O8+O9+O15+O16+O41+O43+O44+O66+O67+O68+O73+O74+O77+O78+O79+O80+O81+O82+O83+O84+O85+O86+O87+O88+O125+O129+O132+O133+O134+O135+O152+O153+O146+O147+O148+O145+O123+O51+O57+O59+O61+O47+O48+O53+O55+O69+O70+O75+O76+O130+O131+O154+O156+O158+O160+O162+O164+O33+O71-1.7</f>
        <v>104341.30000000002</v>
      </c>
      <c r="P169" s="448">
        <f>P8+P9+P14+P15+P16+P18+P41+P43+P44+P66+P67+P68+P73+P74+P77+P78+P79+P80+P81+P82+P83+P84+P85+P86+P87+P88+P125+P129+P132+P133+P134+P135+P152+P153+P146+P147+P148+P145+P123+P51+P57+P59+P61+P47+P48+P53+P55+P69+P70+P75+P76+P130+P131+P154+P156+P158+P160+P162+P164+P46+P33+P71</f>
        <v>112868.89999999998</v>
      </c>
      <c r="Q169" s="448">
        <f>Q163+Q162+Q161+Q160+Q159+Q158+Q157+Q156+Q155+Q154+Q131+Q130+Q129+Q76+Q75+Q74+Q72+Q71+Q70+Q69+Q68+Q62+Q61+Q33+Q26+Q15+Q9+Q8</f>
        <v>109083.9</v>
      </c>
      <c r="R169" s="448">
        <f>R8+R9+R15+R16+R41+R43+R44+R66+R67+R68+R71+R73+R74+R77+R78+R79+R80+R81+R82+R83+R84+R85+R86+R87+R88+R125+R129+R132+R133+R134+R135+R152+R153+R146+R147+R148+R145+R123+R51+R57+R59+R61+R47+R48+R53+R55+R69+R70+R75+R76+R130+R131+R154+R156+R158+R160+R162+R164+R46+R33+R72</f>
        <v>103516.3</v>
      </c>
      <c r="S169" s="448">
        <f>S8+S9+S15+S16+S41+S43+S44+S66+S67+S68+S71+S73+S74+S77+S78+S79+S80+S81+S82+S83+S84+S85+S86+S87+S88+S125+S129+S132+S133+S134+S135+S152+S153+S146+S147+S148+S145+S123+S51+S57+S59+S61+S47+S48+S53+S55+S69+S70+S75+S76+S130+S131+S154+S156+S158+S160+S162+S164+S46+S33+S72</f>
        <v>103516.6</v>
      </c>
      <c r="T169" s="448">
        <f>T8+T9+T15+T16+T41+T43+T44+T66+T67+T68+T71+T73+T74+T77+T78+T79+T80+T81+T82+T83+T84+T85+T86+T87+T88+T125+T129+T132+T133+T134+T135+T152+T153+T146+T147+T148+T145+T123+T51+T57+T59+T61+T47+T48+T53+T55+T69+T70+T75+T76+T130+T131+T154+T156+T158+T160+T162+T164+T46+T33+T72</f>
        <v>1207341.9599999995</v>
      </c>
      <c r="U169" s="451"/>
    </row>
    <row r="170" spans="1:21" s="142" customFormat="1" ht="25.15" customHeight="1" x14ac:dyDescent="0.3">
      <c r="A170" s="446" t="s">
        <v>347</v>
      </c>
      <c r="B170" s="446"/>
      <c r="C170" s="452"/>
      <c r="D170" s="450"/>
      <c r="E170" s="450"/>
      <c r="F170" s="450"/>
      <c r="G170" s="450"/>
      <c r="H170" s="448">
        <f t="shared" ref="H170:Q170" si="17">H120+H144</f>
        <v>1824.6</v>
      </c>
      <c r="I170" s="448">
        <f t="shared" si="17"/>
        <v>2151.3000000000002</v>
      </c>
      <c r="J170" s="448">
        <f t="shared" si="17"/>
        <v>2292.8000000000002</v>
      </c>
      <c r="K170" s="448">
        <f t="shared" si="17"/>
        <v>2292.8000000000002</v>
      </c>
      <c r="L170" s="448">
        <f t="shared" si="17"/>
        <v>3110.3</v>
      </c>
      <c r="M170" s="448">
        <f t="shared" si="17"/>
        <v>5682</v>
      </c>
      <c r="N170" s="448">
        <f t="shared" si="17"/>
        <v>6813.2000000000007</v>
      </c>
      <c r="O170" s="448">
        <f t="shared" si="17"/>
        <v>2694.3</v>
      </c>
      <c r="P170" s="448">
        <f>P120+P144</f>
        <v>3262</v>
      </c>
      <c r="Q170" s="448">
        <f t="shared" si="17"/>
        <v>3020.7</v>
      </c>
      <c r="R170" s="448">
        <f>R144+R120</f>
        <v>2342.3000000000002</v>
      </c>
      <c r="S170" s="448">
        <f t="shared" si="12"/>
        <v>2342.3000000000002</v>
      </c>
      <c r="T170" s="374">
        <f t="shared" si="11"/>
        <v>37828.600000000006</v>
      </c>
      <c r="U170" s="451"/>
    </row>
    <row r="171" spans="1:21" ht="26.45" customHeight="1" x14ac:dyDescent="0.3">
      <c r="A171" s="453" t="s">
        <v>552</v>
      </c>
      <c r="B171" s="453"/>
      <c r="C171" s="453"/>
      <c r="D171" s="454"/>
      <c r="E171" s="454"/>
      <c r="F171" s="454"/>
      <c r="G171" s="454"/>
      <c r="H171" s="455"/>
      <c r="I171" s="455"/>
      <c r="J171" s="455"/>
      <c r="K171" s="455"/>
      <c r="L171" s="455"/>
      <c r="M171" s="455"/>
      <c r="N171" s="455"/>
      <c r="O171" s="456"/>
      <c r="P171" s="455"/>
      <c r="Q171" s="455"/>
      <c r="R171" s="455"/>
      <c r="S171" s="455"/>
      <c r="T171" s="455"/>
      <c r="U171" s="457" t="s">
        <v>34</v>
      </c>
    </row>
    <row r="172" spans="1:21" ht="59.25" customHeight="1" x14ac:dyDescent="0.25">
      <c r="A172" s="458"/>
      <c r="B172" s="459"/>
      <c r="C172" s="460"/>
      <c r="D172" s="461"/>
      <c r="E172" s="460"/>
      <c r="F172" s="460"/>
      <c r="G172" s="462" t="s">
        <v>553</v>
      </c>
      <c r="H172" s="460"/>
      <c r="O172" s="463">
        <f>30649.1+206875.1-O167</f>
        <v>17355.900000000023</v>
      </c>
      <c r="P172" s="463">
        <f>P154+P137+P132+P131+P130+P129+P98+P95</f>
        <v>77918.799999999988</v>
      </c>
      <c r="Q172" s="463">
        <f>Q154+Q137+Q132+Q131+Q130+Q129+Q98+Q95</f>
        <v>75009.299999999988</v>
      </c>
      <c r="R172" s="463">
        <f>R154+R137+R132+R131+R130+R129+R98+R95</f>
        <v>74056.800000000003</v>
      </c>
      <c r="S172" s="463">
        <f>S154+S137+S132+S131+S130+S129+S98+S95</f>
        <v>74056.800000000003</v>
      </c>
      <c r="T172" s="463"/>
    </row>
    <row r="173" spans="1:21" s="166" customFormat="1" ht="47.45" customHeight="1" x14ac:dyDescent="0.3">
      <c r="A173" s="458"/>
      <c r="B173" s="459"/>
      <c r="C173" s="460"/>
      <c r="D173" s="464"/>
      <c r="E173" s="460"/>
      <c r="F173" s="460"/>
      <c r="G173" s="465" t="s">
        <v>554</v>
      </c>
      <c r="H173" s="460"/>
      <c r="I173" s="58"/>
      <c r="J173" s="58"/>
      <c r="K173" s="58"/>
      <c r="L173" s="58"/>
      <c r="M173" s="58"/>
      <c r="N173" s="463"/>
      <c r="O173" s="463">
        <f>102709.8-O169</f>
        <v>-1631.5000000000146</v>
      </c>
      <c r="P173" s="463">
        <f>P167+P168+P169-P172</f>
        <v>326307.09999999998</v>
      </c>
      <c r="Q173" s="463">
        <f>Q167+Q168+Q169-Q172</f>
        <v>355782.7</v>
      </c>
      <c r="R173" s="463">
        <f>R167+R168+R169-R172</f>
        <v>318772.2</v>
      </c>
      <c r="S173" s="463">
        <f>S167+S168+S169-S172</f>
        <v>319053.7</v>
      </c>
      <c r="T173" s="466"/>
      <c r="U173" s="57"/>
    </row>
    <row r="174" spans="1:21" ht="20.25" customHeight="1" x14ac:dyDescent="0.3">
      <c r="A174" s="458"/>
      <c r="B174" s="459"/>
      <c r="C174" s="460"/>
      <c r="D174" s="460"/>
      <c r="E174" s="460"/>
      <c r="F174" s="460"/>
      <c r="G174" s="460"/>
      <c r="H174" s="460"/>
    </row>
    <row r="175" spans="1:21" s="330" customFormat="1" x14ac:dyDescent="0.3">
      <c r="A175" s="458"/>
      <c r="B175" s="459"/>
      <c r="C175" s="460"/>
      <c r="D175" s="460"/>
      <c r="E175" s="460"/>
      <c r="F175" s="460"/>
      <c r="G175" s="460"/>
      <c r="H175" s="460"/>
      <c r="I175" s="58"/>
      <c r="J175" s="58"/>
      <c r="K175" s="58"/>
      <c r="L175" s="58"/>
      <c r="M175" s="58"/>
      <c r="N175" s="58"/>
      <c r="O175" s="58"/>
      <c r="P175" s="58"/>
      <c r="Q175" s="463">
        <f>Q163+Q162+Q161+Q160+Q159+Q158+Q157+Q156+Q155+Q154+Q131+Q130+Q129+Q76+Q75+Q74+Q72+Q71+Q70+Q69+Q68+Q62+Q61+Q33+Q26+Q15+Q9+Q8</f>
        <v>109083.9</v>
      </c>
      <c r="R175" s="58"/>
      <c r="S175" s="58"/>
      <c r="T175" s="466"/>
      <c r="U175" s="57"/>
    </row>
    <row r="176" spans="1:21" s="237" customFormat="1" x14ac:dyDescent="0.3">
      <c r="A176" s="458"/>
      <c r="B176" s="459"/>
      <c r="C176" s="460"/>
      <c r="D176" s="460"/>
      <c r="E176" s="460"/>
      <c r="F176" s="460"/>
      <c r="G176" s="460"/>
      <c r="H176" s="460"/>
      <c r="I176" s="58"/>
      <c r="J176" s="58"/>
      <c r="K176" s="58"/>
      <c r="L176" s="58"/>
      <c r="M176" s="58"/>
      <c r="N176" s="58"/>
      <c r="O176" s="58">
        <v>340234.2</v>
      </c>
      <c r="P176" s="463"/>
      <c r="Q176" s="58"/>
      <c r="R176" s="58"/>
      <c r="S176" s="58"/>
      <c r="T176" s="466"/>
      <c r="U176" s="57"/>
    </row>
    <row r="177" spans="1:19" x14ac:dyDescent="0.3">
      <c r="A177" s="458"/>
      <c r="B177" s="459"/>
      <c r="C177" s="460"/>
      <c r="D177" s="460"/>
      <c r="E177" s="460"/>
      <c r="F177" s="460"/>
      <c r="G177" s="460"/>
      <c r="H177" s="460"/>
      <c r="O177" s="463">
        <f>O176-O167-O169</f>
        <v>15724.600000000006</v>
      </c>
      <c r="Q177" s="463"/>
      <c r="R177" s="463"/>
      <c r="S177" s="463"/>
    </row>
    <row r="178" spans="1:19" x14ac:dyDescent="0.3">
      <c r="A178" s="458"/>
      <c r="B178" s="459"/>
      <c r="C178" s="460"/>
      <c r="D178" s="460"/>
      <c r="E178" s="460"/>
      <c r="F178" s="460"/>
      <c r="G178" s="460"/>
      <c r="H178" s="460"/>
    </row>
    <row r="179" spans="1:19" x14ac:dyDescent="0.3">
      <c r="A179" s="458"/>
      <c r="B179" s="459"/>
      <c r="C179" s="460"/>
      <c r="D179" s="460"/>
      <c r="E179" s="460"/>
      <c r="F179" s="460"/>
      <c r="G179" s="460"/>
      <c r="H179" s="460"/>
      <c r="P179" s="463"/>
    </row>
    <row r="180" spans="1:19" x14ac:dyDescent="0.3">
      <c r="A180" s="458"/>
      <c r="B180" s="459"/>
      <c r="C180" s="460"/>
      <c r="D180" s="460"/>
      <c r="E180" s="460"/>
      <c r="F180" s="460"/>
      <c r="G180" s="460"/>
      <c r="H180" s="460"/>
    </row>
    <row r="181" spans="1:19" x14ac:dyDescent="0.3">
      <c r="A181" s="458"/>
      <c r="B181" s="459"/>
      <c r="C181" s="460"/>
      <c r="D181" s="460"/>
      <c r="E181" s="460"/>
      <c r="F181" s="460"/>
      <c r="G181" s="460"/>
      <c r="H181" s="460"/>
      <c r="Q181" s="463"/>
      <c r="R181" s="463"/>
      <c r="S181" s="463"/>
    </row>
    <row r="182" spans="1:19" x14ac:dyDescent="0.3">
      <c r="A182" s="458"/>
      <c r="B182" s="459"/>
      <c r="C182" s="460"/>
      <c r="D182" s="460"/>
      <c r="E182" s="460"/>
      <c r="F182" s="460"/>
      <c r="G182" s="460"/>
      <c r="H182" s="460"/>
    </row>
    <row r="183" spans="1:19" x14ac:dyDescent="0.3">
      <c r="A183" s="458"/>
      <c r="B183" s="459"/>
      <c r="C183" s="460"/>
      <c r="D183" s="460"/>
      <c r="E183" s="460"/>
      <c r="F183" s="460"/>
      <c r="G183" s="460"/>
      <c r="H183" s="460"/>
    </row>
    <row r="184" spans="1:19" x14ac:dyDescent="0.3">
      <c r="A184" s="458"/>
      <c r="B184" s="459"/>
      <c r="C184" s="460"/>
      <c r="D184" s="460"/>
      <c r="E184" s="460"/>
      <c r="F184" s="460"/>
      <c r="G184" s="460"/>
      <c r="H184" s="460"/>
    </row>
    <row r="185" spans="1:19" x14ac:dyDescent="0.3">
      <c r="A185" s="458"/>
      <c r="B185" s="459"/>
      <c r="C185" s="460"/>
      <c r="D185" s="460"/>
      <c r="E185" s="460"/>
      <c r="F185" s="460"/>
      <c r="G185" s="460"/>
      <c r="H185" s="460"/>
    </row>
    <row r="186" spans="1:19" x14ac:dyDescent="0.3">
      <c r="A186" s="458"/>
      <c r="B186" s="459"/>
      <c r="C186" s="460"/>
      <c r="D186" s="460"/>
      <c r="E186" s="460"/>
      <c r="F186" s="460"/>
      <c r="G186" s="460"/>
      <c r="H186" s="460"/>
    </row>
    <row r="187" spans="1:19" x14ac:dyDescent="0.3">
      <c r="A187" s="458"/>
      <c r="B187" s="459"/>
      <c r="C187" s="460"/>
      <c r="D187" s="460"/>
      <c r="E187" s="460"/>
      <c r="F187" s="460"/>
      <c r="G187" s="460"/>
      <c r="H187" s="460"/>
    </row>
    <row r="188" spans="1:19" x14ac:dyDescent="0.3">
      <c r="A188" s="458"/>
      <c r="B188" s="459"/>
      <c r="C188" s="460"/>
      <c r="D188" s="460"/>
      <c r="E188" s="460"/>
      <c r="F188" s="460"/>
      <c r="G188" s="460"/>
      <c r="H188" s="460"/>
    </row>
    <row r="189" spans="1:19" x14ac:dyDescent="0.3">
      <c r="A189" s="458"/>
      <c r="B189" s="459"/>
      <c r="C189" s="460"/>
      <c r="D189" s="460"/>
      <c r="E189" s="460"/>
      <c r="F189" s="460"/>
      <c r="G189" s="460"/>
      <c r="H189" s="460"/>
    </row>
    <row r="190" spans="1:19" x14ac:dyDescent="0.3">
      <c r="A190" s="458"/>
      <c r="B190" s="459"/>
      <c r="C190" s="460"/>
      <c r="D190" s="460"/>
      <c r="E190" s="460"/>
      <c r="F190" s="460"/>
      <c r="G190" s="460"/>
      <c r="H190" s="460"/>
    </row>
    <row r="191" spans="1:19" x14ac:dyDescent="0.3">
      <c r="A191" s="458"/>
      <c r="B191" s="459"/>
      <c r="C191" s="460"/>
      <c r="D191" s="460"/>
      <c r="E191" s="460"/>
      <c r="F191" s="460"/>
      <c r="G191" s="460"/>
      <c r="H191" s="460"/>
    </row>
    <row r="192" spans="1:19" x14ac:dyDescent="0.3">
      <c r="A192" s="458"/>
      <c r="B192" s="459"/>
      <c r="C192" s="460"/>
      <c r="D192" s="460"/>
      <c r="E192" s="460"/>
      <c r="F192" s="460"/>
      <c r="G192" s="460"/>
      <c r="H192" s="460"/>
    </row>
    <row r="193" spans="1:8" x14ac:dyDescent="0.3">
      <c r="A193" s="458"/>
      <c r="B193" s="459"/>
      <c r="C193" s="460"/>
      <c r="D193" s="460"/>
      <c r="E193" s="460"/>
      <c r="F193" s="460"/>
      <c r="G193" s="460"/>
      <c r="H193" s="460"/>
    </row>
    <row r="194" spans="1:8" x14ac:dyDescent="0.3">
      <c r="A194" s="458"/>
      <c r="B194" s="459"/>
      <c r="C194" s="460"/>
      <c r="D194" s="460"/>
      <c r="E194" s="460"/>
      <c r="F194" s="460"/>
      <c r="G194" s="460"/>
      <c r="H194" s="460"/>
    </row>
    <row r="195" spans="1:8" x14ac:dyDescent="0.3">
      <c r="A195" s="458"/>
      <c r="B195" s="459"/>
      <c r="C195" s="460"/>
      <c r="D195" s="460"/>
      <c r="E195" s="460"/>
      <c r="F195" s="460"/>
      <c r="G195" s="460"/>
      <c r="H195" s="460"/>
    </row>
    <row r="196" spans="1:8" x14ac:dyDescent="0.3">
      <c r="A196" s="458"/>
      <c r="B196" s="459"/>
      <c r="C196" s="460"/>
      <c r="D196" s="460"/>
      <c r="E196" s="460"/>
      <c r="F196" s="460"/>
      <c r="G196" s="460"/>
      <c r="H196" s="460"/>
    </row>
    <row r="197" spans="1:8" x14ac:dyDescent="0.3">
      <c r="A197" s="458"/>
      <c r="B197" s="459"/>
      <c r="C197" s="460"/>
      <c r="D197" s="460"/>
      <c r="E197" s="460"/>
      <c r="F197" s="460"/>
      <c r="G197" s="460"/>
      <c r="H197" s="460"/>
    </row>
    <row r="198" spans="1:8" x14ac:dyDescent="0.3">
      <c r="A198" s="458"/>
      <c r="B198" s="459"/>
      <c r="C198" s="460"/>
      <c r="D198" s="460"/>
      <c r="E198" s="460"/>
      <c r="F198" s="460"/>
      <c r="G198" s="460"/>
      <c r="H198" s="460"/>
    </row>
    <row r="199" spans="1:8" x14ac:dyDescent="0.3">
      <c r="A199" s="458"/>
      <c r="B199" s="459"/>
      <c r="C199" s="460"/>
      <c r="D199" s="460"/>
      <c r="E199" s="460"/>
      <c r="F199" s="460"/>
      <c r="G199" s="460"/>
      <c r="H199" s="460"/>
    </row>
    <row r="200" spans="1:8" x14ac:dyDescent="0.3">
      <c r="A200" s="458"/>
      <c r="B200" s="459"/>
      <c r="C200" s="460"/>
      <c r="D200" s="460"/>
      <c r="E200" s="460"/>
      <c r="F200" s="460"/>
      <c r="G200" s="460"/>
      <c r="H200" s="460"/>
    </row>
    <row r="201" spans="1:8" x14ac:dyDescent="0.3">
      <c r="A201" s="458"/>
      <c r="B201" s="459"/>
      <c r="C201" s="460"/>
      <c r="D201" s="460"/>
      <c r="E201" s="460"/>
      <c r="F201" s="460"/>
      <c r="G201" s="460"/>
      <c r="H201" s="460"/>
    </row>
    <row r="202" spans="1:8" x14ac:dyDescent="0.3">
      <c r="A202" s="458"/>
      <c r="B202" s="459"/>
      <c r="C202" s="460"/>
      <c r="D202" s="460"/>
      <c r="E202" s="460"/>
      <c r="F202" s="460"/>
      <c r="G202" s="460"/>
      <c r="H202" s="460"/>
    </row>
    <row r="203" spans="1:8" x14ac:dyDescent="0.3">
      <c r="A203" s="458"/>
      <c r="B203" s="459"/>
      <c r="C203" s="460"/>
      <c r="D203" s="460"/>
      <c r="E203" s="460"/>
      <c r="F203" s="460"/>
      <c r="G203" s="460"/>
      <c r="H203" s="460"/>
    </row>
    <row r="204" spans="1:8" x14ac:dyDescent="0.3">
      <c r="A204" s="458"/>
      <c r="B204" s="459"/>
      <c r="C204" s="460"/>
      <c r="D204" s="460"/>
      <c r="E204" s="460"/>
      <c r="F204" s="460"/>
      <c r="G204" s="460"/>
      <c r="H204" s="460"/>
    </row>
    <row r="205" spans="1:8" x14ac:dyDescent="0.3">
      <c r="A205" s="458"/>
      <c r="B205" s="459"/>
      <c r="C205" s="460"/>
      <c r="D205" s="460"/>
      <c r="E205" s="460"/>
      <c r="F205" s="460"/>
      <c r="G205" s="460"/>
      <c r="H205" s="460"/>
    </row>
    <row r="206" spans="1:8" x14ac:dyDescent="0.3">
      <c r="A206" s="458"/>
      <c r="B206" s="459"/>
      <c r="C206" s="460"/>
      <c r="D206" s="460"/>
      <c r="E206" s="460"/>
      <c r="F206" s="460"/>
      <c r="G206" s="460"/>
      <c r="H206" s="460"/>
    </row>
    <row r="207" spans="1:8" x14ac:dyDescent="0.3">
      <c r="A207" s="458"/>
      <c r="B207" s="459"/>
      <c r="C207" s="460"/>
      <c r="D207" s="460"/>
      <c r="E207" s="460"/>
      <c r="F207" s="460"/>
      <c r="G207" s="460"/>
      <c r="H207" s="460"/>
    </row>
    <row r="208" spans="1:8" x14ac:dyDescent="0.3">
      <c r="A208" s="458"/>
      <c r="B208" s="459"/>
      <c r="C208" s="460"/>
      <c r="D208" s="460"/>
      <c r="E208" s="460"/>
      <c r="F208" s="460"/>
      <c r="G208" s="460"/>
      <c r="H208" s="460"/>
    </row>
  </sheetData>
  <mergeCells count="82">
    <mergeCell ref="A171:C171"/>
    <mergeCell ref="A165:B165"/>
    <mergeCell ref="A166:B166"/>
    <mergeCell ref="A167:B167"/>
    <mergeCell ref="A168:B168"/>
    <mergeCell ref="A169:B169"/>
    <mergeCell ref="A170:B170"/>
    <mergeCell ref="A149:A151"/>
    <mergeCell ref="B149:B151"/>
    <mergeCell ref="U149:U151"/>
    <mergeCell ref="A154:A164"/>
    <mergeCell ref="B154:B164"/>
    <mergeCell ref="C154:C163"/>
    <mergeCell ref="U129:U144"/>
    <mergeCell ref="A145:A146"/>
    <mergeCell ref="B145:B146"/>
    <mergeCell ref="C145:C146"/>
    <mergeCell ref="U145:U146"/>
    <mergeCell ref="A147:A148"/>
    <mergeCell ref="B147:B148"/>
    <mergeCell ref="C147:C148"/>
    <mergeCell ref="U147:U148"/>
    <mergeCell ref="C92:C115"/>
    <mergeCell ref="B116:B119"/>
    <mergeCell ref="A127:B127"/>
    <mergeCell ref="A129:A144"/>
    <mergeCell ref="B129:B142"/>
    <mergeCell ref="C129:C144"/>
    <mergeCell ref="A58:A59"/>
    <mergeCell ref="A64:B64"/>
    <mergeCell ref="A65:U65"/>
    <mergeCell ref="A66:A88"/>
    <mergeCell ref="B66:B88"/>
    <mergeCell ref="C66:C88"/>
    <mergeCell ref="U66:U120"/>
    <mergeCell ref="B89:B91"/>
    <mergeCell ref="A92:A115"/>
    <mergeCell ref="B92:B115"/>
    <mergeCell ref="U49:U50"/>
    <mergeCell ref="A51:A52"/>
    <mergeCell ref="B51:B55"/>
    <mergeCell ref="C51:C55"/>
    <mergeCell ref="A56:A57"/>
    <mergeCell ref="C56:C57"/>
    <mergeCell ref="A47:A48"/>
    <mergeCell ref="B47:B48"/>
    <mergeCell ref="C47:C48"/>
    <mergeCell ref="A49:A50"/>
    <mergeCell ref="B49:B50"/>
    <mergeCell ref="C49:C50"/>
    <mergeCell ref="U40:U41"/>
    <mergeCell ref="U42:U44"/>
    <mergeCell ref="A43:A44"/>
    <mergeCell ref="B43:B44"/>
    <mergeCell ref="C43:C44"/>
    <mergeCell ref="A45:A46"/>
    <mergeCell ref="B45:B46"/>
    <mergeCell ref="C45:C46"/>
    <mergeCell ref="U45:U46"/>
    <mergeCell ref="B24:B26"/>
    <mergeCell ref="C24:C26"/>
    <mergeCell ref="A27:A39"/>
    <mergeCell ref="B27:B28"/>
    <mergeCell ref="C27:C36"/>
    <mergeCell ref="U27:U36"/>
    <mergeCell ref="B30:B32"/>
    <mergeCell ref="B35:B36"/>
    <mergeCell ref="B38:B39"/>
    <mergeCell ref="A5:U5"/>
    <mergeCell ref="A6:U6"/>
    <mergeCell ref="A8:A16"/>
    <mergeCell ref="B8:B23"/>
    <mergeCell ref="C8:C23"/>
    <mergeCell ref="U8:U23"/>
    <mergeCell ref="R1:U1"/>
    <mergeCell ref="A2:T2"/>
    <mergeCell ref="A3:A4"/>
    <mergeCell ref="B3:B4"/>
    <mergeCell ref="C3:C4"/>
    <mergeCell ref="D3:G3"/>
    <mergeCell ref="H3:T3"/>
    <mergeCell ref="U3:U4"/>
  </mergeCells>
  <pageMargins left="0" right="0" top="0" bottom="0" header="0.31496062992125984" footer="0.31496062992125984"/>
  <pageSetup paperSize="9" scale="39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21</vt:i4>
      </vt:variant>
    </vt:vector>
  </HeadingPairs>
  <TitlesOfParts>
    <vt:vector size="34" baseType="lpstr">
      <vt:lpstr>прил1 к МП</vt:lpstr>
      <vt:lpstr>прил2 к МП</vt:lpstr>
      <vt:lpstr>прил3 к МП</vt:lpstr>
      <vt:lpstr>прил1 к пасп МП</vt:lpstr>
      <vt:lpstr>прил2 к пасп МП</vt:lpstr>
      <vt:lpstr>Показатели прил1 к пасп подпр1</vt:lpstr>
      <vt:lpstr>Мероприятия прил2 к пасп подпр1</vt:lpstr>
      <vt:lpstr>Показатели прил1 к пасп подпр2</vt:lpstr>
      <vt:lpstr>Мероприятия прил2 к пасп подпр2</vt:lpstr>
      <vt:lpstr>Показатели прил1 к пасп подпр3</vt:lpstr>
      <vt:lpstr>Мероприятия прил2 к пасп подпр3</vt:lpstr>
      <vt:lpstr>Показатели прил1 к пасп подпр4</vt:lpstr>
      <vt:lpstr>Мероприятия прил2 к пасп подпр4</vt:lpstr>
      <vt:lpstr>'Мероприятия прил2 к пасп подпр1'!Заголовки_для_печати</vt:lpstr>
      <vt:lpstr>'Мероприятия прил2 к пасп подпр2'!Заголовки_для_печати</vt:lpstr>
      <vt:lpstr>'Мероприятия прил2 к пасп подпр3'!Заголовки_для_печати</vt:lpstr>
      <vt:lpstr>'Мероприятия прил2 к пасп подпр4'!Заголовки_для_печати</vt:lpstr>
      <vt:lpstr>'Показатели прил1 к пасп подпр1'!Заголовки_для_печати</vt:lpstr>
      <vt:lpstr>'Показатели прил1 к пасп подпр2'!Заголовки_для_печати</vt:lpstr>
      <vt:lpstr>'прил1 к пасп МП'!Заголовки_для_печати</vt:lpstr>
      <vt:lpstr>'прил2 к МП'!Заголовки_для_печати</vt:lpstr>
      <vt:lpstr>'прил2 к пасп МП'!Заголовки_для_печати</vt:lpstr>
      <vt:lpstr>'Мероприятия прил2 к пасп подпр1'!Область_печати</vt:lpstr>
      <vt:lpstr>'Мероприятия прил2 к пасп подпр2'!Область_печати</vt:lpstr>
      <vt:lpstr>'Мероприятия прил2 к пасп подпр3'!Область_печати</vt:lpstr>
      <vt:lpstr>'Мероприятия прил2 к пасп подпр4'!Область_печати</vt:lpstr>
      <vt:lpstr>'Показатели прил1 к пасп подпр1'!Область_печати</vt:lpstr>
      <vt:lpstr>'Показатели прил1 к пасп подпр2'!Область_печати</vt:lpstr>
      <vt:lpstr>'Показатели прил1 к пасп подпр3'!Область_печати</vt:lpstr>
      <vt:lpstr>'Показатели прил1 к пасп подпр4'!Область_печати</vt:lpstr>
      <vt:lpstr>'прил1 к пасп МП'!Область_печати</vt:lpstr>
      <vt:lpstr>'прил2 к МП'!Область_печати</vt:lpstr>
      <vt:lpstr>'прил2 к пасп МП'!Область_печати</vt:lpstr>
      <vt:lpstr>'прил3 к МП'!Область_печати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direktor</dc:creator>
  <cp:lastModifiedBy>direktor</cp:lastModifiedBy>
  <dcterms:created xsi:type="dcterms:W3CDTF">2023-08-24T10:06:10Z</dcterms:created>
  <dcterms:modified xsi:type="dcterms:W3CDTF">2023-08-25T08:04:24Z</dcterms:modified>
</cp:coreProperties>
</file>