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!_ПРОГРАММЫ и СТРАТЕГИИ\!_МП СистОбраз г.Дивногорска_2014-2020\!!_МЦП_2014-2021_Действующая\ИЗМ в МП\2019-12-20_изм МП\"/>
    </mc:Choice>
  </mc:AlternateContent>
  <bookViews>
    <workbookView xWindow="0" yWindow="0" windowWidth="24000" windowHeight="9630"/>
  </bookViews>
  <sheets>
    <sheet name="Прил1 к МП" sheetId="1" r:id="rId1"/>
    <sheet name="Прил2 к МП" sheetId="2" r:id="rId2"/>
    <sheet name="Прил3 к МП" sheetId="3" r:id="rId3"/>
    <sheet name="Прил1 к папорту МП" sheetId="4" r:id="rId4"/>
    <sheet name="Прил2 к паспорту МП" sheetId="5" r:id="rId5"/>
    <sheet name="Прил1 к паспорту подпрог1" sheetId="6" r:id="rId6"/>
    <sheet name="Прил2 к паспорту подпрог1" sheetId="7" r:id="rId7"/>
    <sheet name="Прил1 к паспорту подпрог2" sheetId="8" r:id="rId8"/>
    <sheet name="Прил2 к паспорту подпрог2" sheetId="9" r:id="rId9"/>
    <sheet name="Прил1 к паспорту подпрог3" sheetId="10" r:id="rId10"/>
    <sheet name="Прил2 к паспорту подпрог3" sheetId="11" r:id="rId11"/>
    <sheet name="Прил1 к паспорту подпрог4" sheetId="12" r:id="rId12"/>
    <sheet name="Прил2 к паспорту подпрог4" sheetId="13" r:id="rId13"/>
  </sheets>
  <externalReferences>
    <externalReference r:id="rId14"/>
  </externalReferences>
  <definedNames>
    <definedName name="_xlnm._FilterDatabase" localSheetId="6" hidden="1">'Прил2 к паспорту подпрог1'!$A$4:$U$51</definedName>
    <definedName name="_xlnm._FilterDatabase" localSheetId="8" hidden="1">'Прил2 к паспорту подпрог2'!$A$1:$U$108</definedName>
    <definedName name="_xlnm._FilterDatabase" localSheetId="10" hidden="1">'Прил2 к паспорту подпрог3'!$A$4:$S$35</definedName>
    <definedName name="Z_2166B299_1DBB_4BE8_98C9_E9EFB21DCA26_.wvu.FilterData" localSheetId="6" hidden="1">'Прил2 к паспорту подпрог1'!$A$4:$U$51</definedName>
    <definedName name="Z_2166B299_1DBB_4BE8_98C9_E9EFB21DCA26_.wvu.FilterData" localSheetId="8" hidden="1">'Прил2 к паспорту подпрог2'!$A$4:$U$108</definedName>
    <definedName name="Z_2166B299_1DBB_4BE8_98C9_E9EFB21DCA26_.wvu.FilterData" localSheetId="10" hidden="1">'Прил2 к паспорту подпрог3'!$A$4:$S$35</definedName>
    <definedName name="Z_2715DACA_7FC2_4162_875B_92B3FB82D8B1_.wvu.FilterData" localSheetId="6" hidden="1">'Прил2 к паспорту подпрог1'!$A$4:$U$51</definedName>
    <definedName name="Z_2715DACA_7FC2_4162_875B_92B3FB82D8B1_.wvu.FilterData" localSheetId="8" hidden="1">'Прил2 к паспорту подпрог2'!$A$4:$U$108</definedName>
    <definedName name="Z_2715DACA_7FC2_4162_875B_92B3FB82D8B1_.wvu.FilterData" localSheetId="10" hidden="1">'Прил2 к паспорту подпрог3'!$A$4:$S$35</definedName>
    <definedName name="Z_29BFB567_1C85_481C_A8AF_8210D8E0792F_.wvu.FilterData" localSheetId="6" hidden="1">'Прил2 к паспорту подпрог1'!$A$4:$U$51</definedName>
    <definedName name="Z_29BFB567_1C85_481C_A8AF_8210D8E0792F_.wvu.FilterData" localSheetId="8" hidden="1">'Прил2 к паспорту подпрог2'!$A$4:$U$108</definedName>
    <definedName name="Z_29BFB567_1C85_481C_A8AF_8210D8E0792F_.wvu.FilterData" localSheetId="10" hidden="1">'Прил2 к паспорту подпрог3'!$A$4:$S$35</definedName>
    <definedName name="Z_4767DD30_F6FB_4FF0_A429_8866A8232500_.wvu.Cols" localSheetId="3" hidden="1">'Прил1 к папорту МП'!$F:$F</definedName>
    <definedName name="Z_4767DD30_F6FB_4FF0_A429_8866A8232500_.wvu.Cols" localSheetId="5" hidden="1">'Прил1 к паспорту подпрог1'!$D:$D</definedName>
    <definedName name="Z_4767DD30_F6FB_4FF0_A429_8866A8232500_.wvu.Cols" localSheetId="7" hidden="1">'Прил1 к паспорту подпрог2'!$D:$D</definedName>
    <definedName name="Z_4767DD30_F6FB_4FF0_A429_8866A8232500_.wvu.Cols" localSheetId="9" hidden="1">'Прил1 к паспорту подпрог3'!$C:$C</definedName>
    <definedName name="Z_4767DD30_F6FB_4FF0_A429_8866A8232500_.wvu.Cols" localSheetId="4" hidden="1">'Прил2 к паспорту МП'!$D:$E</definedName>
    <definedName name="Z_4767DD30_F6FB_4FF0_A429_8866A8232500_.wvu.FilterData" localSheetId="6" hidden="1">'Прил2 к паспорту подпрог1'!$A$4:$U$51</definedName>
    <definedName name="Z_4767DD30_F6FB_4FF0_A429_8866A8232500_.wvu.FilterData" localSheetId="8" hidden="1">'Прил2 к паспорту подпрог2'!$A$4:$U$108</definedName>
    <definedName name="Z_4767DD30_F6FB_4FF0_A429_8866A8232500_.wvu.FilterData" localSheetId="10" hidden="1">'Прил2 к паспорту подпрог3'!$A$4:$S$35</definedName>
    <definedName name="Z_4767DD30_F6FB_4FF0_A429_8866A8232500_.wvu.PrintArea" localSheetId="3" hidden="1">'Прил1 к папорту МП'!$A$1:$M$76</definedName>
    <definedName name="Z_4767DD30_F6FB_4FF0_A429_8866A8232500_.wvu.PrintArea" localSheetId="5" hidden="1">'Прил1 к паспорту подпрог1'!$A$1:$J$13</definedName>
    <definedName name="Z_4767DD30_F6FB_4FF0_A429_8866A8232500_.wvu.PrintArea" localSheetId="7" hidden="1">'Прил1 к паспорту подпрог2'!$A$1:$J$31</definedName>
    <definedName name="Z_4767DD30_F6FB_4FF0_A429_8866A8232500_.wvu.PrintArea" localSheetId="9" hidden="1">'Прил1 к паспорту подпрог3'!$A$1:$H$5</definedName>
    <definedName name="Z_4767DD30_F6FB_4FF0_A429_8866A8232500_.wvu.PrintArea" localSheetId="11" hidden="1">'Прил1 к паспорту подпрог4'!$A$1:$K$33</definedName>
    <definedName name="Z_4767DD30_F6FB_4FF0_A429_8866A8232500_.wvu.PrintArea" localSheetId="1" hidden="1">'Прил2 к МП'!$A$1:$M$30</definedName>
    <definedName name="Z_4767DD30_F6FB_4FF0_A429_8866A8232500_.wvu.PrintArea" localSheetId="4" hidden="1">'Прил2 к паспорту МП'!$A$1:$Q$10</definedName>
    <definedName name="Z_4767DD30_F6FB_4FF0_A429_8866A8232500_.wvu.PrintArea" localSheetId="6" hidden="1">'Прил2 к паспорту подпрог1'!$A$1:$R$57</definedName>
    <definedName name="Z_4767DD30_F6FB_4FF0_A429_8866A8232500_.wvu.PrintArea" localSheetId="8" hidden="1">'Прил2 к паспорту подпрог2'!$A$1:$R$105</definedName>
    <definedName name="Z_4767DD30_F6FB_4FF0_A429_8866A8232500_.wvu.PrintArea" localSheetId="10" hidden="1">'Прил2 к паспорту подпрог3'!$A$1:$R$40</definedName>
    <definedName name="Z_4767DD30_F6FB_4FF0_A429_8866A8232500_.wvu.PrintArea" localSheetId="12" hidden="1">'Прил2 к паспорту подпрог4'!$A$1:$R$53</definedName>
    <definedName name="Z_4767DD30_F6FB_4FF0_A429_8866A8232500_.wvu.PrintArea" localSheetId="2" hidden="1">'Прил3 к МП'!$A$1:$O$15</definedName>
    <definedName name="Z_4767DD30_F6FB_4FF0_A429_8866A8232500_.wvu.PrintTitles" localSheetId="3" hidden="1">'Прил1 к папорту МП'!$3:$5</definedName>
    <definedName name="Z_4767DD30_F6FB_4FF0_A429_8866A8232500_.wvu.PrintTitles" localSheetId="5" hidden="1">'Прил1 к паспорту подпрог1'!$3:$5</definedName>
    <definedName name="Z_4767DD30_F6FB_4FF0_A429_8866A8232500_.wvu.PrintTitles" localSheetId="7" hidden="1">'Прил1 к паспорту подпрог2'!$3:$5</definedName>
    <definedName name="Z_4767DD30_F6FB_4FF0_A429_8866A8232500_.wvu.PrintTitles" localSheetId="9" hidden="1">'Прил1 к паспорту подпрог3'!#REF!</definedName>
    <definedName name="Z_4767DD30_F6FB_4FF0_A429_8866A8232500_.wvu.PrintTitles" localSheetId="1" hidden="1">'Прил2 к МП'!$3:$4</definedName>
    <definedName name="Z_4767DD30_F6FB_4FF0_A429_8866A8232500_.wvu.PrintTitles" localSheetId="4" hidden="1">'Прил2 к паспорту МП'!$3:$4</definedName>
    <definedName name="Z_4767DD30_F6FB_4FF0_A429_8866A8232500_.wvu.PrintTitles" localSheetId="6" hidden="1">'Прил2 к паспорту подпрог1'!$3:$4</definedName>
    <definedName name="Z_4767DD30_F6FB_4FF0_A429_8866A8232500_.wvu.PrintTitles" localSheetId="8" hidden="1">'Прил2 к паспорту подпрог2'!$3:$4</definedName>
    <definedName name="Z_4767DD30_F6FB_4FF0_A429_8866A8232500_.wvu.PrintTitles" localSheetId="10" hidden="1">'Прил2 к паспорту подпрог3'!$3:$4</definedName>
    <definedName name="Z_4767DD30_F6FB_4FF0_A429_8866A8232500_.wvu.PrintTitles" localSheetId="12" hidden="1">'Прил2 к паспорту подпрог4'!$3:$4</definedName>
    <definedName name="Z_4767DD30_F6FB_4FF0_A429_8866A8232500_.wvu.PrintTitles" localSheetId="2" hidden="1">'Прил3 к МП'!$3:$4</definedName>
    <definedName name="Z_4767DD30_F6FB_4FF0_A429_8866A8232500_.wvu.Rows" localSheetId="6" hidden="1">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</definedName>
    <definedName name="Z_4767DD30_F6FB_4FF0_A429_8866A8232500_.wvu.Rows" localSheetId="8" hidden="1">'Прил2 к паспорту подпрог2'!#REF!,'Прил2 к паспорту подпрог2'!#REF!,'Прил2 к паспорту подпрог2'!#REF!,'Прил2 к паспорту подпрог2'!$74:$74,'Прил2 к паспорту подпрог2'!#REF!,'Прил2 к паспорту подпрог2'!#REF!,'Прил2 к паспорту подпрог2'!#REF!,'Прил2 к паспорту подпрог2'!#REF!,'Прил2 к паспорту подпрог2'!#REF!</definedName>
    <definedName name="Z_4767DD30_F6FB_4FF0_A429_8866A8232500_.wvu.Rows" localSheetId="10" hidden="1">'Прил2 к паспорту подпрог3'!#REF!,'Прил2 к паспорту подпрог3'!#REF!,'Прил2 к паспорту подпрог3'!$6:$6,'Прил2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</definedName>
    <definedName name="Z_4767DD30_F6FB_4FF0_A429_8866A8232500_.wvu.Rows" localSheetId="12" hidden="1">'Прил2 к паспорту подпрог4'!#REF!,'Прил2 к паспорту подпрог4'!#REF!</definedName>
    <definedName name="Z_484BD7FD_1D3D_4528_954E_A98D5B59AC9C_.wvu.FilterData" localSheetId="6" hidden="1">'Прил2 к паспорту подпрог1'!$A$4:$U$51</definedName>
    <definedName name="Z_484BD7FD_1D3D_4528_954E_A98D5B59AC9C_.wvu.FilterData" localSheetId="8" hidden="1">'Прил2 к паспорту подпрог2'!$A$4:$U$108</definedName>
    <definedName name="Z_484BD7FD_1D3D_4528_954E_A98D5B59AC9C_.wvu.FilterData" localSheetId="10" hidden="1">'Прил2 к паспорту подпрог3'!$A$4:$S$35</definedName>
    <definedName name="Z_7C917F30_361A_4C86_9002_2134EAE2E3CF_.wvu.Cols" localSheetId="5" hidden="1">'Прил1 к паспорту подпрог1'!$D:$D</definedName>
    <definedName name="Z_7C917F30_361A_4C86_9002_2134EAE2E3CF_.wvu.Cols" localSheetId="7" hidden="1">'Прил1 к паспорту подпрог2'!$D:$D</definedName>
    <definedName name="Z_7C917F30_361A_4C86_9002_2134EAE2E3CF_.wvu.Cols" localSheetId="9" hidden="1">'Прил1 к паспорту подпрог3'!$C:$C</definedName>
    <definedName name="Z_7C917F30_361A_4C86_9002_2134EAE2E3CF_.wvu.FilterData" localSheetId="6" hidden="1">'Прил2 к паспорту подпрог1'!$A$4:$U$51</definedName>
    <definedName name="Z_7C917F30_361A_4C86_9002_2134EAE2E3CF_.wvu.FilterData" localSheetId="8" hidden="1">'Прил2 к паспорту подпрог2'!$A$4:$U$108</definedName>
    <definedName name="Z_7C917F30_361A_4C86_9002_2134EAE2E3CF_.wvu.FilterData" localSheetId="10" hidden="1">'Прил2 к паспорту подпрог3'!$A$4:$S$35</definedName>
    <definedName name="Z_7C917F30_361A_4C86_9002_2134EAE2E3CF_.wvu.PrintArea" localSheetId="5" hidden="1">'Прил1 к паспорту подпрог1'!$A$1:$J$13</definedName>
    <definedName name="Z_7C917F30_361A_4C86_9002_2134EAE2E3CF_.wvu.PrintArea" localSheetId="7" hidden="1">'Прил1 к паспорту подпрог2'!$A$1:$J$31</definedName>
    <definedName name="Z_7C917F30_361A_4C86_9002_2134EAE2E3CF_.wvu.PrintArea" localSheetId="9" hidden="1">'Прил1 к паспорту подпрог3'!$A$1:$H$5</definedName>
    <definedName name="Z_7C917F30_361A_4C86_9002_2134EAE2E3CF_.wvu.PrintArea" localSheetId="11" hidden="1">'Прил1 к паспорту подпрог4'!$A$1:$K$33</definedName>
    <definedName name="Z_7C917F30_361A_4C86_9002_2134EAE2E3CF_.wvu.PrintArea" localSheetId="1" hidden="1">'Прил2 к МП'!$A$1:$M$30</definedName>
    <definedName name="Z_7C917F30_361A_4C86_9002_2134EAE2E3CF_.wvu.PrintArea" localSheetId="6" hidden="1">'Прил2 к паспорту подпрог1'!$A$1:$R$57</definedName>
    <definedName name="Z_7C917F30_361A_4C86_9002_2134EAE2E3CF_.wvu.PrintArea" localSheetId="8" hidden="1">'Прил2 к паспорту подпрог2'!$A$1:$R$105</definedName>
    <definedName name="Z_7C917F30_361A_4C86_9002_2134EAE2E3CF_.wvu.PrintArea" localSheetId="10" hidden="1">'Прил2 к паспорту подпрог3'!$A$1:$R$40</definedName>
    <definedName name="Z_7C917F30_361A_4C86_9002_2134EAE2E3CF_.wvu.PrintArea" localSheetId="2" hidden="1">'Прил3 к МП'!$A$1:$O$15</definedName>
    <definedName name="Z_7C917F30_361A_4C86_9002_2134EAE2E3CF_.wvu.PrintTitles" localSheetId="5" hidden="1">'Прил1 к паспорту подпрог1'!$3:$5</definedName>
    <definedName name="Z_7C917F30_361A_4C86_9002_2134EAE2E3CF_.wvu.PrintTitles" localSheetId="7" hidden="1">'Прил1 к паспорту подпрог2'!$3:$5</definedName>
    <definedName name="Z_7C917F30_361A_4C86_9002_2134EAE2E3CF_.wvu.PrintTitles" localSheetId="9" hidden="1">'Прил1 к паспорту подпрог3'!#REF!</definedName>
    <definedName name="Z_7C917F30_361A_4C86_9002_2134EAE2E3CF_.wvu.PrintTitles" localSheetId="1" hidden="1">'Прил2 к МП'!$3:$4</definedName>
    <definedName name="Z_7C917F30_361A_4C86_9002_2134EAE2E3CF_.wvu.PrintTitles" localSheetId="6" hidden="1">'Прил2 к паспорту подпрог1'!$3:$4</definedName>
    <definedName name="Z_7C917F30_361A_4C86_9002_2134EAE2E3CF_.wvu.PrintTitles" localSheetId="8" hidden="1">'Прил2 к паспорту подпрог2'!$3:$4</definedName>
    <definedName name="Z_7C917F30_361A_4C86_9002_2134EAE2E3CF_.wvu.PrintTitles" localSheetId="10" hidden="1">'Прил2 к паспорту подпрог3'!$3:$4</definedName>
    <definedName name="Z_7C917F30_361A_4C86_9002_2134EAE2E3CF_.wvu.PrintTitles" localSheetId="12" hidden="1">'Прил2 к паспорту подпрог4'!$3:$4</definedName>
    <definedName name="Z_7C917F30_361A_4C86_9002_2134EAE2E3CF_.wvu.PrintTitles" localSheetId="2" hidden="1">'Прил3 к МП'!$3:$4</definedName>
    <definedName name="Z_7C917F30_361A_4C86_9002_2134EAE2E3CF_.wvu.Rows" localSheetId="6" hidden="1">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подпрог1'!#REF!,'Прил2 к паспорту подпрог1'!#REF!</definedName>
    <definedName name="Z_7C917F30_361A_4C86_9002_2134EAE2E3CF_.wvu.Rows" localSheetId="8" hidden="1">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подпрог2'!#REF!,'Прил2 к паспорту подпрог2'!#REF!</definedName>
    <definedName name="Z_7C917F30_361A_4C86_9002_2134EAE2E3CF_.wvu.Rows" localSheetId="10" hidden="1">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подпрог3'!#REF!,'Прил2 к паспорту подпрог3'!#REF!</definedName>
    <definedName name="Z_7C917F30_361A_4C86_9002_2134EAE2E3CF_.wvu.Rows" localSheetId="12" hidden="1">'Прил2 к паспорту подпрог4'!#REF!,'Прил2 к паспорту подпрог4'!#REF!</definedName>
    <definedName name="Z_81F2AFB8_21DA_4513_90AB_0A09D7D72D56_.wvu.FilterData" localSheetId="6" hidden="1">'Прил2 к паспорту подпрог1'!$A$4:$U$51</definedName>
    <definedName name="Z_81F2AFB8_21DA_4513_90AB_0A09D7D72D56_.wvu.FilterData" localSheetId="8" hidden="1">'Прил2 к паспорту подпрог2'!$A$4:$U$108</definedName>
    <definedName name="Z_81F2AFB8_21DA_4513_90AB_0A09D7D72D56_.wvu.FilterData" localSheetId="10" hidden="1">'Прил2 к паспорту подпрог3'!$A$4:$S$35</definedName>
    <definedName name="Z_AD6F79BD_847B_4421_A1AA_268A55FACAB4_.wvu.FilterData" localSheetId="6" hidden="1">'Прил2 к паспорту подпрог1'!$A$4:$U$51</definedName>
    <definedName name="Z_AD6F79BD_847B_4421_A1AA_268A55FACAB4_.wvu.FilterData" localSheetId="8" hidden="1">'Прил2 к паспорту подпрог2'!$A$4:$U$108</definedName>
    <definedName name="Z_AD6F79BD_847B_4421_A1AA_268A55FACAB4_.wvu.FilterData" localSheetId="10" hidden="1">'Прил2 к паспорту подпрог3'!$A$4:$S$35</definedName>
    <definedName name="Z_B45C2115_52AF_4E7B_8578_551FB3CF371E_.wvu.FilterData" localSheetId="6" hidden="1">'Прил2 к паспорту подпрог1'!$A$4:$U$51</definedName>
    <definedName name="Z_B45C2115_52AF_4E7B_8578_551FB3CF371E_.wvu.FilterData" localSheetId="8" hidden="1">'Прил2 к паспорту подпрог2'!$A$4:$U$108</definedName>
    <definedName name="Z_B45C2115_52AF_4E7B_8578_551FB3CF371E_.wvu.FilterData" localSheetId="10" hidden="1">'Прил2 к паспорту подпрог3'!$A$4:$S$35</definedName>
    <definedName name="Z_C75D4C66_EC35_48DB_8FCD_E29923CDB091_.wvu.FilterData" localSheetId="6" hidden="1">'Прил2 к паспорту подпрог1'!$A$4:$U$51</definedName>
    <definedName name="Z_C75D4C66_EC35_48DB_8FCD_E29923CDB091_.wvu.FilterData" localSheetId="8" hidden="1">'Прил2 к паспорту подпрог2'!$A$4:$U$108</definedName>
    <definedName name="Z_C75D4C66_EC35_48DB_8FCD_E29923CDB091_.wvu.FilterData" localSheetId="10" hidden="1">'Прил2 к паспорту подпрог3'!$A$4:$S$35</definedName>
    <definedName name="Z_CDE1D6F6_68DF_42F8_B01A_FF6465B24CCD_.wvu.Cols" localSheetId="5" hidden="1">'Прил1 к паспорту подпрог1'!$D:$D</definedName>
    <definedName name="Z_CDE1D6F6_68DF_42F8_B01A_FF6465B24CCD_.wvu.Cols" localSheetId="7" hidden="1">'Прил1 к паспорту подпрог2'!$D:$D</definedName>
    <definedName name="Z_CDE1D6F6_68DF_42F8_B01A_FF6465B24CCD_.wvu.Cols" localSheetId="9" hidden="1">'Прил1 к паспорту подпрог3'!$C:$C</definedName>
    <definedName name="Z_CDE1D6F6_68DF_42F8_B01A_FF6465B24CCD_.wvu.FilterData" localSheetId="6" hidden="1">'Прил2 к паспорту подпрог1'!$A$4:$U$51</definedName>
    <definedName name="Z_CDE1D6F6_68DF_42F8_B01A_FF6465B24CCD_.wvu.FilterData" localSheetId="8" hidden="1">'Прил2 к паспорту подпрог2'!$A$4:$U$108</definedName>
    <definedName name="Z_CDE1D6F6_68DF_42F8_B01A_FF6465B24CCD_.wvu.FilterData" localSheetId="10" hidden="1">'Прил2 к паспорту подпрог3'!$A$4:$S$35</definedName>
    <definedName name="Z_CDE1D6F6_68DF_42F8_B01A_FF6465B24CCD_.wvu.PrintArea" localSheetId="5" hidden="1">'Прил1 к паспорту подпрог1'!$A$1:$J$13</definedName>
    <definedName name="Z_CDE1D6F6_68DF_42F8_B01A_FF6465B24CCD_.wvu.PrintArea" localSheetId="7" hidden="1">'Прил1 к паспорту подпрог2'!$A$1:$J$31</definedName>
    <definedName name="Z_CDE1D6F6_68DF_42F8_B01A_FF6465B24CCD_.wvu.PrintArea" localSheetId="9" hidden="1">'Прил1 к паспорту подпрог3'!$A$1:$H$5</definedName>
    <definedName name="Z_CDE1D6F6_68DF_42F8_B01A_FF6465B24CCD_.wvu.PrintArea" localSheetId="11" hidden="1">'Прил1 к паспорту подпрог4'!$A$1:$K$33</definedName>
    <definedName name="Z_CDE1D6F6_68DF_42F8_B01A_FF6465B24CCD_.wvu.PrintArea" localSheetId="1" hidden="1">'Прил2 к МП'!$A$1:$M$30</definedName>
    <definedName name="Z_CDE1D6F6_68DF_42F8_B01A_FF6465B24CCD_.wvu.PrintArea" localSheetId="6" hidden="1">'Прил2 к паспорту подпрог1'!$A$1:$R$57</definedName>
    <definedName name="Z_CDE1D6F6_68DF_42F8_B01A_FF6465B24CCD_.wvu.PrintArea" localSheetId="8" hidden="1">'Прил2 к паспорту подпрог2'!$A$1:$R$105</definedName>
    <definedName name="Z_CDE1D6F6_68DF_42F8_B01A_FF6465B24CCD_.wvu.PrintArea" localSheetId="10" hidden="1">'Прил2 к паспорту подпрог3'!$A$1:$R$40</definedName>
    <definedName name="Z_CDE1D6F6_68DF_42F8_B01A_FF6465B24CCD_.wvu.PrintArea" localSheetId="12" hidden="1">'Прил2 к паспорту подпрог4'!$A$1:$R$53</definedName>
    <definedName name="Z_CDE1D6F6_68DF_42F8_B01A_FF6465B24CCD_.wvu.PrintArea" localSheetId="2" hidden="1">'Прил3 к МП'!$A$1:$O$15</definedName>
    <definedName name="Z_CDE1D6F6_68DF_42F8_B01A_FF6465B24CCD_.wvu.PrintTitles" localSheetId="5" hidden="1">'Прил1 к паспорту подпрог1'!$3:$5</definedName>
    <definedName name="Z_CDE1D6F6_68DF_42F8_B01A_FF6465B24CCD_.wvu.PrintTitles" localSheetId="7" hidden="1">'Прил1 к паспорту подпрог2'!$3:$5</definedName>
    <definedName name="Z_CDE1D6F6_68DF_42F8_B01A_FF6465B24CCD_.wvu.PrintTitles" localSheetId="9" hidden="1">'Прил1 к паспорту подпрог3'!#REF!</definedName>
    <definedName name="Z_CDE1D6F6_68DF_42F8_B01A_FF6465B24CCD_.wvu.PrintTitles" localSheetId="1" hidden="1">'Прил2 к МП'!$3:$4</definedName>
    <definedName name="Z_CDE1D6F6_68DF_42F8_B01A_FF6465B24CCD_.wvu.PrintTitles" localSheetId="6" hidden="1">'Прил2 к паспорту подпрог1'!$3:$4</definedName>
    <definedName name="Z_CDE1D6F6_68DF_42F8_B01A_FF6465B24CCD_.wvu.PrintTitles" localSheetId="8" hidden="1">'Прил2 к паспорту подпрог2'!$3:$4</definedName>
    <definedName name="Z_CDE1D6F6_68DF_42F8_B01A_FF6465B24CCD_.wvu.PrintTitles" localSheetId="10" hidden="1">'Прил2 к паспорту подпрог3'!$3:$4</definedName>
    <definedName name="Z_CDE1D6F6_68DF_42F8_B01A_FF6465B24CCD_.wvu.PrintTitles" localSheetId="12" hidden="1">'Прил2 к паспорту подпрог4'!$3:$4</definedName>
    <definedName name="Z_CDE1D6F6_68DF_42F8_B01A_FF6465B24CCD_.wvu.PrintTitles" localSheetId="2" hidden="1">'Прил3 к МП'!$3:$4</definedName>
    <definedName name="Z_CDE1D6F6_68DF_42F8_B01A_FF6465B24CCD_.wvu.Rows" localSheetId="12" hidden="1">'Прил2 к паспорту подпрог4'!#REF!,'Прил2 к паспорту подпрог4'!#REF!</definedName>
    <definedName name="Z_D97B14A5_4ECD_4EB7_B8A7_D41E462F19A2_.wvu.FilterData" localSheetId="6" hidden="1">'Прил2 к паспорту подпрог1'!$A$4:$U$51</definedName>
    <definedName name="Z_D97B14A5_4ECD_4EB7_B8A7_D41E462F19A2_.wvu.FilterData" localSheetId="8" hidden="1">'Прил2 к паспорту подпрог2'!$A$4:$U$108</definedName>
    <definedName name="Z_D97B14A5_4ECD_4EB7_B8A7_D41E462F19A2_.wvu.FilterData" localSheetId="10" hidden="1">'Прил2 к паспорту подпрог3'!$A$4:$S$35</definedName>
    <definedName name="Z_FAC3C627_8E23_41AB_B3FB_95B33614D8DB_.wvu.FilterData" localSheetId="6" hidden="1">'Прил2 к паспорту подпрог1'!$A$4:$U$51</definedName>
    <definedName name="Z_FAC3C627_8E23_41AB_B3FB_95B33614D8DB_.wvu.FilterData" localSheetId="8" hidden="1">'Прил2 к паспорту подпрог2'!$A$4:$U$108</definedName>
    <definedName name="Z_FAC3C627_8E23_41AB_B3FB_95B33614D8DB_.wvu.FilterData" localSheetId="10" hidden="1">'Прил2 к паспорту подпрог3'!$A$4:$S$35</definedName>
    <definedName name="_xlnm.Print_Titles" localSheetId="3">'Прил1 к папорту МП'!$3:$5</definedName>
    <definedName name="_xlnm.Print_Titles" localSheetId="5">'Прил1 к паспорту подпрог1'!$3:$5</definedName>
    <definedName name="_xlnm.Print_Titles" localSheetId="7">'Прил1 к паспорту подпрог2'!$3:$5</definedName>
    <definedName name="_xlnm.Print_Titles" localSheetId="9">'Прил1 к паспорту подпрог3'!#REF!</definedName>
    <definedName name="_xlnm.Print_Titles" localSheetId="1">'Прил2 к МП'!$3:$4</definedName>
    <definedName name="_xlnm.Print_Titles" localSheetId="4">'Прил2 к паспорту МП'!$3:$4</definedName>
    <definedName name="_xlnm.Print_Titles" localSheetId="6">'Прил2 к паспорту подпрог1'!$3:$4</definedName>
    <definedName name="_xlnm.Print_Titles" localSheetId="8">'Прил2 к паспорту подпрог2'!$3:$4</definedName>
    <definedName name="_xlnm.Print_Titles" localSheetId="10">'Прил2 к паспорту подпрог3'!$3:$4</definedName>
    <definedName name="_xlnm.Print_Titles" localSheetId="12">'Прил2 к паспорту подпрог4'!$3:$4</definedName>
    <definedName name="_xlnm.Print_Titles" localSheetId="2">'Прил3 к МП'!$3:$4</definedName>
    <definedName name="_xlnm.Print_Area" localSheetId="3">'Прил1 к папорту МП'!$A$1:$N$76</definedName>
    <definedName name="_xlnm.Print_Area" localSheetId="5">'Прил1 к паспорту подпрог1'!$A$1:$M$13</definedName>
    <definedName name="_xlnm.Print_Area" localSheetId="7">'Прил1 к паспорту подпрог2'!$A$1:$M$31</definedName>
    <definedName name="_xlnm.Print_Area" localSheetId="9">'Прил1 к паспорту подпрог3'!$A$1:$N$14</definedName>
    <definedName name="_xlnm.Print_Area" localSheetId="11">'Прил1 к паспорту подпрог4'!$A$1:$M$29</definedName>
    <definedName name="_xlnm.Print_Area" localSheetId="1">'Прил2 к МП'!$A$1:$M$30</definedName>
    <definedName name="_xlnm.Print_Area" localSheetId="4">'Прил2 к паспорту МП'!$A$1:$Q$10</definedName>
    <definedName name="_xlnm.Print_Area" localSheetId="8">'Прил2 к паспорту подпрог2'!$A$1:$R$105</definedName>
    <definedName name="_xlnm.Print_Area" localSheetId="10">'Прил2 к паспорту подпрог3'!$A$1:$R$40</definedName>
    <definedName name="_xlnm.Print_Area" localSheetId="12">'Прил2 к паспорту подпрог4'!$A$1:$R$53</definedName>
    <definedName name="_xlnm.Print_Area" localSheetId="2">'Прил3 к МП'!$A$1:$Q$36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13" l="1"/>
  <c r="P51" i="13" s="1"/>
  <c r="O49" i="13"/>
  <c r="O51" i="13" s="1"/>
  <c r="N49" i="13"/>
  <c r="N51" i="13" s="1"/>
  <c r="M49" i="13"/>
  <c r="M51" i="13" s="1"/>
  <c r="L49" i="13"/>
  <c r="L51" i="13" s="1"/>
  <c r="J49" i="13"/>
  <c r="J51" i="13" s="1"/>
  <c r="I49" i="13"/>
  <c r="I51" i="13" s="1"/>
  <c r="H49" i="13"/>
  <c r="Q49" i="13" s="1"/>
  <c r="P48" i="13"/>
  <c r="K48" i="13"/>
  <c r="K49" i="13" s="1"/>
  <c r="K51" i="13" s="1"/>
  <c r="Q47" i="13"/>
  <c r="P47" i="13"/>
  <c r="P46" i="13"/>
  <c r="Q46" i="13" s="1"/>
  <c r="Q45" i="13"/>
  <c r="P45" i="13"/>
  <c r="P44" i="13"/>
  <c r="Q44" i="13" s="1"/>
  <c r="Q43" i="13"/>
  <c r="P43" i="13"/>
  <c r="Q40" i="13"/>
  <c r="P40" i="13"/>
  <c r="O40" i="13"/>
  <c r="P39" i="13"/>
  <c r="O39" i="13"/>
  <c r="Q39" i="13" s="1"/>
  <c r="P38" i="13"/>
  <c r="Q38" i="13" s="1"/>
  <c r="O37" i="13"/>
  <c r="P37" i="13" s="1"/>
  <c r="Q37" i="13" s="1"/>
  <c r="Q36" i="13"/>
  <c r="Q35" i="13"/>
  <c r="Q34" i="13"/>
  <c r="O33" i="13"/>
  <c r="P33" i="13" s="1"/>
  <c r="N33" i="13"/>
  <c r="P32" i="13"/>
  <c r="Q32" i="13" s="1"/>
  <c r="Q31" i="13"/>
  <c r="P31" i="13"/>
  <c r="Q30" i="13"/>
  <c r="P30" i="13"/>
  <c r="Q29" i="13"/>
  <c r="P29" i="13"/>
  <c r="Q28" i="13"/>
  <c r="P28" i="13"/>
  <c r="Q27" i="13"/>
  <c r="P26" i="13"/>
  <c r="Q26" i="13" s="1"/>
  <c r="P25" i="13"/>
  <c r="Q25" i="13" s="1"/>
  <c r="Q24" i="13"/>
  <c r="P24" i="13"/>
  <c r="P23" i="13"/>
  <c r="M23" i="13"/>
  <c r="Q23" i="13" s="1"/>
  <c r="O22" i="13"/>
  <c r="O41" i="13" s="1"/>
  <c r="O50" i="13" s="1"/>
  <c r="N22" i="13"/>
  <c r="N41" i="13" s="1"/>
  <c r="N50" i="13" s="1"/>
  <c r="N52" i="13" s="1"/>
  <c r="M22" i="13"/>
  <c r="M41" i="13" s="1"/>
  <c r="M50" i="13" s="1"/>
  <c r="K22" i="13"/>
  <c r="J22" i="13"/>
  <c r="J41" i="13" s="1"/>
  <c r="I22" i="13"/>
  <c r="I41" i="13" s="1"/>
  <c r="H22" i="13"/>
  <c r="Q21" i="13"/>
  <c r="P21" i="13"/>
  <c r="Q20" i="13"/>
  <c r="P20" i="13"/>
  <c r="Q19" i="13"/>
  <c r="Q18" i="13"/>
  <c r="Q17" i="13"/>
  <c r="P17" i="13"/>
  <c r="Q16" i="13"/>
  <c r="P16" i="13"/>
  <c r="L16" i="13"/>
  <c r="P15" i="13"/>
  <c r="Q15" i="13" s="1"/>
  <c r="P14" i="13"/>
  <c r="Q14" i="13" s="1"/>
  <c r="L14" i="13"/>
  <c r="Q13" i="13"/>
  <c r="P13" i="13"/>
  <c r="Q12" i="13"/>
  <c r="P12" i="13"/>
  <c r="Q11" i="13"/>
  <c r="P11" i="13"/>
  <c r="Q10" i="13"/>
  <c r="P10" i="13"/>
  <c r="Q9" i="13"/>
  <c r="P9" i="13"/>
  <c r="P8" i="13"/>
  <c r="K8" i="13"/>
  <c r="Q8" i="13" s="1"/>
  <c r="P7" i="13"/>
  <c r="Q7" i="13" s="1"/>
  <c r="N38" i="11"/>
  <c r="L38" i="11"/>
  <c r="K38" i="11"/>
  <c r="J38" i="11"/>
  <c r="I38" i="11"/>
  <c r="H38" i="11"/>
  <c r="P37" i="11"/>
  <c r="O37" i="11"/>
  <c r="N37" i="11"/>
  <c r="M37" i="11"/>
  <c r="L37" i="11"/>
  <c r="K37" i="11"/>
  <c r="J37" i="11"/>
  <c r="I37" i="11"/>
  <c r="O36" i="11"/>
  <c r="P36" i="11" s="1"/>
  <c r="N36" i="11"/>
  <c r="M36" i="11"/>
  <c r="L36" i="11"/>
  <c r="J36" i="11"/>
  <c r="I36" i="11"/>
  <c r="H36" i="11"/>
  <c r="L35" i="11"/>
  <c r="P34" i="11"/>
  <c r="N34" i="11"/>
  <c r="M34" i="11"/>
  <c r="L34" i="11"/>
  <c r="K34" i="11"/>
  <c r="J34" i="11"/>
  <c r="I34" i="11"/>
  <c r="H34" i="11"/>
  <c r="Q34" i="11" s="1"/>
  <c r="Q33" i="11"/>
  <c r="P33" i="11"/>
  <c r="Q32" i="11"/>
  <c r="P32" i="11"/>
  <c r="Q31" i="11"/>
  <c r="P31" i="11"/>
  <c r="Q30" i="11"/>
  <c r="P30" i="11"/>
  <c r="Q29" i="11"/>
  <c r="P29" i="11"/>
  <c r="Q28" i="11"/>
  <c r="P28" i="11"/>
  <c r="Q27" i="11"/>
  <c r="P27" i="11"/>
  <c r="Q26" i="11"/>
  <c r="P26" i="11"/>
  <c r="Q25" i="11"/>
  <c r="P25" i="11"/>
  <c r="M23" i="11"/>
  <c r="M35" i="11" s="1"/>
  <c r="L23" i="11"/>
  <c r="J23" i="11"/>
  <c r="J35" i="11" s="1"/>
  <c r="I23" i="11"/>
  <c r="I35" i="11" s="1"/>
  <c r="Q22" i="11"/>
  <c r="P22" i="11"/>
  <c r="Q21" i="11"/>
  <c r="P21" i="11"/>
  <c r="Q20" i="11"/>
  <c r="P20" i="11"/>
  <c r="Q19" i="11"/>
  <c r="P19" i="11"/>
  <c r="O18" i="11"/>
  <c r="O23" i="11" s="1"/>
  <c r="N18" i="11"/>
  <c r="N23" i="11" s="1"/>
  <c r="N35" i="11" s="1"/>
  <c r="M18" i="11"/>
  <c r="M38" i="11" s="1"/>
  <c r="P17" i="11"/>
  <c r="Q17" i="11" s="1"/>
  <c r="P16" i="11"/>
  <c r="Q16" i="11" s="1"/>
  <c r="P15" i="11"/>
  <c r="Q15" i="11" s="1"/>
  <c r="P14" i="11"/>
  <c r="K14" i="11"/>
  <c r="Q14" i="11" s="1"/>
  <c r="Q13" i="11"/>
  <c r="P13" i="11"/>
  <c r="P12" i="11"/>
  <c r="H12" i="11"/>
  <c r="H23" i="11" s="1"/>
  <c r="P11" i="11"/>
  <c r="Q11" i="11" s="1"/>
  <c r="P10" i="11"/>
  <c r="Q10" i="11" s="1"/>
  <c r="P9" i="11"/>
  <c r="Q9" i="11" s="1"/>
  <c r="Q8" i="11"/>
  <c r="Q6" i="11"/>
  <c r="K104" i="9"/>
  <c r="J104" i="9"/>
  <c r="I104" i="9"/>
  <c r="P103" i="9"/>
  <c r="O103" i="9"/>
  <c r="N103" i="9"/>
  <c r="M103" i="9"/>
  <c r="L103" i="9"/>
  <c r="O102" i="9"/>
  <c r="P102" i="9" s="1"/>
  <c r="N102" i="9"/>
  <c r="J102" i="9"/>
  <c r="I102" i="9"/>
  <c r="H102" i="9"/>
  <c r="K100" i="9"/>
  <c r="I100" i="9"/>
  <c r="P99" i="9"/>
  <c r="Q99" i="9" s="1"/>
  <c r="Q98" i="9"/>
  <c r="P98" i="9"/>
  <c r="P97" i="9"/>
  <c r="Q97" i="9" s="1"/>
  <c r="Q96" i="9"/>
  <c r="P96" i="9"/>
  <c r="P95" i="9"/>
  <c r="Q95" i="9" s="1"/>
  <c r="Q94" i="9"/>
  <c r="P94" i="9"/>
  <c r="P93" i="9"/>
  <c r="Q93" i="9" s="1"/>
  <c r="Q92" i="9"/>
  <c r="P92" i="9"/>
  <c r="P91" i="9"/>
  <c r="Q91" i="9" s="1"/>
  <c r="O90" i="9"/>
  <c r="P90" i="9" s="1"/>
  <c r="N90" i="9"/>
  <c r="N104" i="9" s="1"/>
  <c r="M90" i="9"/>
  <c r="M104" i="9" s="1"/>
  <c r="L90" i="9"/>
  <c r="L100" i="9" s="1"/>
  <c r="H90" i="9"/>
  <c r="Q90" i="9" s="1"/>
  <c r="Q87" i="9"/>
  <c r="P87" i="9"/>
  <c r="P86" i="9"/>
  <c r="Q86" i="9" s="1"/>
  <c r="Q85" i="9"/>
  <c r="P85" i="9"/>
  <c r="P84" i="9"/>
  <c r="Q84" i="9" s="1"/>
  <c r="Q83" i="9"/>
  <c r="P83" i="9"/>
  <c r="P82" i="9"/>
  <c r="Q82" i="9" s="1"/>
  <c r="Q81" i="9"/>
  <c r="P81" i="9"/>
  <c r="P80" i="9"/>
  <c r="J80" i="9"/>
  <c r="J103" i="9" s="1"/>
  <c r="Q79" i="9"/>
  <c r="P79" i="9"/>
  <c r="P77" i="9"/>
  <c r="O77" i="9"/>
  <c r="N77" i="9"/>
  <c r="L77" i="9"/>
  <c r="J77" i="9"/>
  <c r="P76" i="9"/>
  <c r="Q76" i="9" s="1"/>
  <c r="P75" i="9"/>
  <c r="Q75" i="9" s="1"/>
  <c r="Q74" i="9"/>
  <c r="P74" i="9"/>
  <c r="P73" i="9"/>
  <c r="Q73" i="9" s="1"/>
  <c r="Q72" i="9"/>
  <c r="P72" i="9"/>
  <c r="P71" i="9"/>
  <c r="Q71" i="9" s="1"/>
  <c r="Q70" i="9"/>
  <c r="P70" i="9"/>
  <c r="L70" i="9"/>
  <c r="L104" i="9" s="1"/>
  <c r="Q69" i="9"/>
  <c r="P69" i="9"/>
  <c r="P68" i="9"/>
  <c r="Q68" i="9" s="1"/>
  <c r="Q67" i="9"/>
  <c r="P67" i="9"/>
  <c r="Q64" i="9"/>
  <c r="P64" i="9"/>
  <c r="Q63" i="9"/>
  <c r="P63" i="9"/>
  <c r="P62" i="9"/>
  <c r="M62" i="9"/>
  <c r="Q62" i="9" s="1"/>
  <c r="Q61" i="9"/>
  <c r="P61" i="9"/>
  <c r="P60" i="9"/>
  <c r="Q60" i="9" s="1"/>
  <c r="Q59" i="9"/>
  <c r="P59" i="9"/>
  <c r="P58" i="9"/>
  <c r="L58" i="9"/>
  <c r="Q58" i="9" s="1"/>
  <c r="P57" i="9"/>
  <c r="Q57" i="9" s="1"/>
  <c r="Q56" i="9"/>
  <c r="P56" i="9"/>
  <c r="Q55" i="9"/>
  <c r="P55" i="9"/>
  <c r="Q54" i="9"/>
  <c r="P54" i="9"/>
  <c r="Q53" i="9"/>
  <c r="P53" i="9"/>
  <c r="Q52" i="9"/>
  <c r="P52" i="9"/>
  <c r="Q51" i="9"/>
  <c r="P51" i="9"/>
  <c r="Q50" i="9"/>
  <c r="P50" i="9"/>
  <c r="Q49" i="9"/>
  <c r="P49" i="9"/>
  <c r="Q48" i="9"/>
  <c r="P48" i="9"/>
  <c r="M48" i="9"/>
  <c r="M102" i="9" s="1"/>
  <c r="K48" i="9"/>
  <c r="Q47" i="9"/>
  <c r="P47" i="9"/>
  <c r="Q46" i="9"/>
  <c r="P46" i="9"/>
  <c r="Q45" i="9"/>
  <c r="P45" i="9"/>
  <c r="Q44" i="9"/>
  <c r="P44" i="9"/>
  <c r="Q43" i="9"/>
  <c r="P43" i="9"/>
  <c r="Q42" i="9"/>
  <c r="P42" i="9"/>
  <c r="Q41" i="9"/>
  <c r="P41" i="9"/>
  <c r="Q40" i="9"/>
  <c r="P40" i="9"/>
  <c r="Q39" i="9"/>
  <c r="P39" i="9"/>
  <c r="Q38" i="9"/>
  <c r="K38" i="9"/>
  <c r="K77" i="9" s="1"/>
  <c r="Q37" i="9"/>
  <c r="P36" i="9"/>
  <c r="Q36" i="9" s="1"/>
  <c r="P35" i="9"/>
  <c r="Q35" i="9" s="1"/>
  <c r="P34" i="9"/>
  <c r="Q34" i="9" s="1"/>
  <c r="P33" i="9"/>
  <c r="Q33" i="9" s="1"/>
  <c r="L32" i="9"/>
  <c r="I32" i="9"/>
  <c r="I103" i="9" s="1"/>
  <c r="H32" i="9"/>
  <c r="Q32" i="9" s="1"/>
  <c r="Q31" i="9"/>
  <c r="O29" i="9"/>
  <c r="P29" i="9" s="1"/>
  <c r="N29" i="9"/>
  <c r="J29" i="9"/>
  <c r="I29" i="9"/>
  <c r="H29" i="9"/>
  <c r="Q28" i="9"/>
  <c r="P28" i="9"/>
  <c r="P27" i="9"/>
  <c r="K27" i="9"/>
  <c r="Q27" i="9" s="1"/>
  <c r="P26" i="9"/>
  <c r="L26" i="9"/>
  <c r="L102" i="9" s="1"/>
  <c r="K26" i="9"/>
  <c r="Q26" i="9" s="1"/>
  <c r="P25" i="9"/>
  <c r="Q25" i="9" s="1"/>
  <c r="P24" i="9"/>
  <c r="Q24" i="9" s="1"/>
  <c r="P23" i="9"/>
  <c r="Q23" i="9" s="1"/>
  <c r="P22" i="9"/>
  <c r="Q22" i="9" s="1"/>
  <c r="P21" i="9"/>
  <c r="Q21" i="9" s="1"/>
  <c r="P20" i="9"/>
  <c r="Q20" i="9" s="1"/>
  <c r="P19" i="9"/>
  <c r="Q19" i="9" s="1"/>
  <c r="P18" i="9"/>
  <c r="Q18" i="9" s="1"/>
  <c r="P17" i="9"/>
  <c r="Q17" i="9" s="1"/>
  <c r="P16" i="9"/>
  <c r="Q16" i="9" s="1"/>
  <c r="Q15" i="9"/>
  <c r="P15" i="9"/>
  <c r="M15" i="9"/>
  <c r="M29" i="9" s="1"/>
  <c r="Q14" i="9"/>
  <c r="P14" i="9"/>
  <c r="Q13" i="9"/>
  <c r="P13" i="9"/>
  <c r="Q12" i="9"/>
  <c r="P12" i="9"/>
  <c r="Q11" i="9"/>
  <c r="P11" i="9"/>
  <c r="Q10" i="9"/>
  <c r="P10" i="9"/>
  <c r="P9" i="9"/>
  <c r="K9" i="9"/>
  <c r="K103" i="9" s="1"/>
  <c r="P8" i="9"/>
  <c r="Q8" i="9" s="1"/>
  <c r="P7" i="9"/>
  <c r="K7" i="9"/>
  <c r="K102" i="9" s="1"/>
  <c r="O54" i="7"/>
  <c r="P54" i="7" s="1"/>
  <c r="N54" i="7"/>
  <c r="M54" i="7"/>
  <c r="L54" i="7"/>
  <c r="K54" i="7"/>
  <c r="J54" i="7"/>
  <c r="I54" i="7"/>
  <c r="H54" i="7"/>
  <c r="Q54" i="7" s="1"/>
  <c r="P53" i="7"/>
  <c r="O53" i="7"/>
  <c r="N53" i="7"/>
  <c r="M53" i="7"/>
  <c r="L53" i="7"/>
  <c r="K53" i="7"/>
  <c r="J53" i="7"/>
  <c r="I53" i="7"/>
  <c r="H53" i="7"/>
  <c r="Q53" i="7" s="1"/>
  <c r="O52" i="7"/>
  <c r="P52" i="7" s="1"/>
  <c r="N52" i="7"/>
  <c r="M52" i="7"/>
  <c r="K52" i="7"/>
  <c r="J52" i="7"/>
  <c r="I52" i="7"/>
  <c r="H52" i="7"/>
  <c r="Q52" i="7" s="1"/>
  <c r="H51" i="7"/>
  <c r="O50" i="7"/>
  <c r="O51" i="7" s="1"/>
  <c r="P51" i="7" s="1"/>
  <c r="N50" i="7"/>
  <c r="N51" i="7" s="1"/>
  <c r="M50" i="7"/>
  <c r="M51" i="7" s="1"/>
  <c r="K50" i="7"/>
  <c r="K51" i="7" s="1"/>
  <c r="J50" i="7"/>
  <c r="J51" i="7" s="1"/>
  <c r="I50" i="7"/>
  <c r="I51" i="7" s="1"/>
  <c r="H50" i="7"/>
  <c r="P49" i="7"/>
  <c r="Q49" i="7" s="1"/>
  <c r="Q48" i="7"/>
  <c r="P48" i="7"/>
  <c r="P47" i="7"/>
  <c r="Q47" i="7" s="1"/>
  <c r="Q46" i="7"/>
  <c r="P46" i="7"/>
  <c r="P45" i="7"/>
  <c r="Q45" i="7" s="1"/>
  <c r="Q44" i="7"/>
  <c r="P44" i="7"/>
  <c r="P43" i="7"/>
  <c r="Q43" i="7" s="1"/>
  <c r="Q42" i="7"/>
  <c r="P42" i="7"/>
  <c r="P41" i="7"/>
  <c r="Q41" i="7" s="1"/>
  <c r="Q40" i="7"/>
  <c r="P40" i="7"/>
  <c r="P39" i="7"/>
  <c r="Q39" i="7" s="1"/>
  <c r="L39" i="7"/>
  <c r="L52" i="7" s="1"/>
  <c r="P38" i="7"/>
  <c r="Q38" i="7" s="1"/>
  <c r="Q37" i="7"/>
  <c r="P37" i="7"/>
  <c r="P36" i="7"/>
  <c r="Q36" i="7" s="1"/>
  <c r="Q35" i="7"/>
  <c r="P35" i="7"/>
  <c r="P34" i="7"/>
  <c r="Q34" i="7" s="1"/>
  <c r="Q33" i="7"/>
  <c r="P33" i="7"/>
  <c r="P32" i="7"/>
  <c r="Q32" i="7" s="1"/>
  <c r="Q31" i="7"/>
  <c r="P31" i="7"/>
  <c r="P30" i="7"/>
  <c r="Q30" i="7" s="1"/>
  <c r="Q29" i="7"/>
  <c r="P29" i="7"/>
  <c r="P28" i="7"/>
  <c r="Q28" i="7" s="1"/>
  <c r="Q27" i="7"/>
  <c r="P27" i="7"/>
  <c r="P26" i="7"/>
  <c r="Q26" i="7" s="1"/>
  <c r="Q25" i="7"/>
  <c r="P25" i="7"/>
  <c r="P24" i="7"/>
  <c r="Q24" i="7" s="1"/>
  <c r="Q23" i="7"/>
  <c r="P23" i="7"/>
  <c r="P22" i="7"/>
  <c r="Q22" i="7" s="1"/>
  <c r="Q21" i="7"/>
  <c r="P21" i="7"/>
  <c r="P20" i="7"/>
  <c r="Q20" i="7" s="1"/>
  <c r="Q19" i="7"/>
  <c r="P19" i="7"/>
  <c r="P18" i="7"/>
  <c r="Q18" i="7" s="1"/>
  <c r="Q17" i="7"/>
  <c r="P17" i="7"/>
  <c r="P16" i="7"/>
  <c r="Q16" i="7" s="1"/>
  <c r="Q15" i="7"/>
  <c r="P15" i="7"/>
  <c r="P14" i="7"/>
  <c r="Q14" i="7" s="1"/>
  <c r="Q13" i="7"/>
  <c r="P13" i="7"/>
  <c r="P12" i="7"/>
  <c r="Q12" i="7" s="1"/>
  <c r="Q11" i="7"/>
  <c r="P11" i="7"/>
  <c r="P10" i="7"/>
  <c r="Q10" i="7" s="1"/>
  <c r="Q9" i="7"/>
  <c r="P9" i="7"/>
  <c r="P8" i="7"/>
  <c r="Q8" i="7" s="1"/>
  <c r="Q7" i="7"/>
  <c r="P7" i="7"/>
  <c r="D7" i="5"/>
  <c r="Q32" i="3"/>
  <c r="P32" i="3"/>
  <c r="O32" i="3"/>
  <c r="N32" i="3"/>
  <c r="M32" i="3"/>
  <c r="L32" i="3"/>
  <c r="P28" i="3"/>
  <c r="Q28" i="3" s="1"/>
  <c r="O20" i="3"/>
  <c r="P20" i="3" s="1"/>
  <c r="Q20" i="3" s="1"/>
  <c r="N20" i="3"/>
  <c r="M20" i="3"/>
  <c r="L20" i="3"/>
  <c r="O19" i="3"/>
  <c r="P19" i="3" s="1"/>
  <c r="N19" i="3"/>
  <c r="M19" i="3"/>
  <c r="L19" i="3"/>
  <c r="Q16" i="3"/>
  <c r="P16" i="3"/>
  <c r="O16" i="3"/>
  <c r="N16" i="3"/>
  <c r="M16" i="3"/>
  <c r="O12" i="3"/>
  <c r="P12" i="3" s="1"/>
  <c r="Q12" i="3" s="1"/>
  <c r="N12" i="3"/>
  <c r="M12" i="3"/>
  <c r="L8" i="3"/>
  <c r="M29" i="2"/>
  <c r="L29" i="2"/>
  <c r="L28" i="2"/>
  <c r="K28" i="2"/>
  <c r="M28" i="2" s="1"/>
  <c r="L27" i="2"/>
  <c r="M27" i="2" s="1"/>
  <c r="M26" i="2"/>
  <c r="L26" i="2"/>
  <c r="K25" i="2"/>
  <c r="L25" i="2" s="1"/>
  <c r="J25" i="2"/>
  <c r="I25" i="2"/>
  <c r="H25" i="2"/>
  <c r="G25" i="2"/>
  <c r="F25" i="2"/>
  <c r="E25" i="2"/>
  <c r="D25" i="2"/>
  <c r="M24" i="2"/>
  <c r="L24" i="2"/>
  <c r="M23" i="2"/>
  <c r="L23" i="2"/>
  <c r="M22" i="2"/>
  <c r="L22" i="2"/>
  <c r="M21" i="2"/>
  <c r="L21" i="2"/>
  <c r="K20" i="2"/>
  <c r="L20" i="2" s="1"/>
  <c r="J20" i="2"/>
  <c r="I20" i="2"/>
  <c r="H20" i="2"/>
  <c r="G20" i="2"/>
  <c r="F20" i="2"/>
  <c r="E20" i="2"/>
  <c r="D20" i="2"/>
  <c r="M19" i="2"/>
  <c r="L19" i="2"/>
  <c r="K18" i="2"/>
  <c r="L18" i="2" s="1"/>
  <c r="M18" i="2" s="1"/>
  <c r="L17" i="2"/>
  <c r="M17" i="2" s="1"/>
  <c r="L16" i="2"/>
  <c r="M16" i="2" s="1"/>
  <c r="J15" i="2"/>
  <c r="I15" i="2"/>
  <c r="H15" i="2"/>
  <c r="G15" i="2"/>
  <c r="F15" i="2"/>
  <c r="E15" i="2"/>
  <c r="D15" i="2"/>
  <c r="L14" i="2"/>
  <c r="M14" i="2" s="1"/>
  <c r="L13" i="2"/>
  <c r="M13" i="2" s="1"/>
  <c r="L12" i="2"/>
  <c r="M12" i="2" s="1"/>
  <c r="L11" i="2"/>
  <c r="M11" i="2" s="1"/>
  <c r="K10" i="2"/>
  <c r="L10" i="2" s="1"/>
  <c r="J10" i="2"/>
  <c r="I10" i="2"/>
  <c r="H10" i="2"/>
  <c r="G10" i="2"/>
  <c r="F10" i="2"/>
  <c r="E10" i="2"/>
  <c r="D10" i="2"/>
  <c r="L9" i="2"/>
  <c r="K9" i="2"/>
  <c r="J9" i="2"/>
  <c r="I9" i="2"/>
  <c r="H9" i="2"/>
  <c r="G9" i="2"/>
  <c r="F9" i="2"/>
  <c r="E9" i="2"/>
  <c r="D9" i="2"/>
  <c r="M9" i="2" s="1"/>
  <c r="K8" i="2"/>
  <c r="L8" i="2" s="1"/>
  <c r="J8" i="2"/>
  <c r="J5" i="2" s="1"/>
  <c r="I8" i="2"/>
  <c r="H8" i="2"/>
  <c r="G8" i="2"/>
  <c r="F8" i="2"/>
  <c r="F5" i="2" s="1"/>
  <c r="E8" i="2"/>
  <c r="D8" i="2"/>
  <c r="M8" i="2" s="1"/>
  <c r="L7" i="2"/>
  <c r="K7" i="2"/>
  <c r="J7" i="2"/>
  <c r="I7" i="2"/>
  <c r="H7" i="2"/>
  <c r="G7" i="2"/>
  <c r="F7" i="2"/>
  <c r="E7" i="2"/>
  <c r="D7" i="2"/>
  <c r="M7" i="2" s="1"/>
  <c r="L6" i="2"/>
  <c r="M6" i="2" s="1"/>
  <c r="L5" i="2"/>
  <c r="K5" i="2"/>
  <c r="I5" i="2"/>
  <c r="H5" i="2"/>
  <c r="G5" i="2"/>
  <c r="E5" i="2"/>
  <c r="Q26" i="1"/>
  <c r="P26" i="1"/>
  <c r="P25" i="1"/>
  <c r="K25" i="1"/>
  <c r="J25" i="1"/>
  <c r="I25" i="1"/>
  <c r="Q25" i="1" s="1"/>
  <c r="N24" i="1"/>
  <c r="O24" i="1" s="1"/>
  <c r="M24" i="1"/>
  <c r="P23" i="1"/>
  <c r="Q23" i="1" s="1"/>
  <c r="L22" i="1"/>
  <c r="K22" i="1"/>
  <c r="J22" i="1"/>
  <c r="I22" i="1"/>
  <c r="H22" i="1"/>
  <c r="Q21" i="1"/>
  <c r="P21" i="1"/>
  <c r="P20" i="1"/>
  <c r="Q20" i="1" s="1"/>
  <c r="O19" i="1"/>
  <c r="P19" i="1" s="1"/>
  <c r="N19" i="1"/>
  <c r="M19" i="1"/>
  <c r="L19" i="1"/>
  <c r="K19" i="1"/>
  <c r="J19" i="1"/>
  <c r="I19" i="1"/>
  <c r="H19" i="1"/>
  <c r="Q19" i="1" s="1"/>
  <c r="P18" i="1"/>
  <c r="Q18" i="1" s="1"/>
  <c r="O18" i="1"/>
  <c r="P17" i="1"/>
  <c r="Q17" i="1" s="1"/>
  <c r="Q16" i="1"/>
  <c r="P16" i="1"/>
  <c r="O15" i="1"/>
  <c r="P15" i="1" s="1"/>
  <c r="N15" i="1"/>
  <c r="M15" i="1"/>
  <c r="L15" i="1"/>
  <c r="K15" i="1"/>
  <c r="J15" i="1"/>
  <c r="I15" i="1"/>
  <c r="H15" i="1"/>
  <c r="Q15" i="1" s="1"/>
  <c r="Q14" i="1"/>
  <c r="P14" i="1"/>
  <c r="P13" i="1"/>
  <c r="Q13" i="1" s="1"/>
  <c r="Q12" i="1"/>
  <c r="P12" i="1"/>
  <c r="O11" i="1"/>
  <c r="P11" i="1" s="1"/>
  <c r="N11" i="1"/>
  <c r="M11" i="1"/>
  <c r="L11" i="1"/>
  <c r="K11" i="1"/>
  <c r="J11" i="1"/>
  <c r="I11" i="1"/>
  <c r="H11" i="1"/>
  <c r="O10" i="1"/>
  <c r="P10" i="1" s="1"/>
  <c r="N10" i="1"/>
  <c r="M10" i="1"/>
  <c r="L10" i="1"/>
  <c r="K10" i="1"/>
  <c r="J10" i="1"/>
  <c r="I10" i="1"/>
  <c r="H10" i="1"/>
  <c r="O9" i="1"/>
  <c r="P9" i="1" s="1"/>
  <c r="N9" i="1"/>
  <c r="M9" i="1"/>
  <c r="L9" i="1"/>
  <c r="K9" i="1"/>
  <c r="K5" i="1" s="1"/>
  <c r="J9" i="1"/>
  <c r="I9" i="1"/>
  <c r="H9" i="1"/>
  <c r="Q8" i="1"/>
  <c r="P8" i="1"/>
  <c r="M8" i="1"/>
  <c r="N7" i="1"/>
  <c r="L7" i="1"/>
  <c r="L5" i="1" s="1"/>
  <c r="K7" i="1"/>
  <c r="J7" i="1"/>
  <c r="I7" i="1"/>
  <c r="H7" i="1"/>
  <c r="P6" i="1"/>
  <c r="Q6" i="1" s="1"/>
  <c r="N5" i="1"/>
  <c r="J5" i="1"/>
  <c r="H5" i="1"/>
  <c r="J52" i="13" l="1"/>
  <c r="J50" i="13"/>
  <c r="P50" i="13"/>
  <c r="P52" i="13" s="1"/>
  <c r="O52" i="13"/>
  <c r="Q51" i="13"/>
  <c r="Q33" i="13"/>
  <c r="I52" i="13"/>
  <c r="I50" i="13"/>
  <c r="M52" i="13"/>
  <c r="H51" i="13"/>
  <c r="L22" i="13"/>
  <c r="L52" i="13" s="1"/>
  <c r="P22" i="13"/>
  <c r="P41" i="13" s="1"/>
  <c r="H41" i="13"/>
  <c r="L41" i="13"/>
  <c r="L50" i="13" s="1"/>
  <c r="K41" i="13"/>
  <c r="Q48" i="13"/>
  <c r="H35" i="11"/>
  <c r="O35" i="11"/>
  <c r="P35" i="11" s="1"/>
  <c r="P23" i="11"/>
  <c r="Q36" i="11"/>
  <c r="H37" i="11"/>
  <c r="Q37" i="11" s="1"/>
  <c r="P18" i="11"/>
  <c r="K36" i="11"/>
  <c r="O38" i="11"/>
  <c r="P38" i="11" s="1"/>
  <c r="Q12" i="11"/>
  <c r="Q18" i="11"/>
  <c r="K23" i="11"/>
  <c r="K35" i="11" s="1"/>
  <c r="L101" i="9"/>
  <c r="K101" i="9"/>
  <c r="Q102" i="9"/>
  <c r="H77" i="9"/>
  <c r="N100" i="9"/>
  <c r="N101" i="9" s="1"/>
  <c r="Q7" i="9"/>
  <c r="L29" i="9"/>
  <c r="I77" i="9"/>
  <c r="I101" i="9" s="1"/>
  <c r="M77" i="9"/>
  <c r="O100" i="9"/>
  <c r="O104" i="9"/>
  <c r="P104" i="9" s="1"/>
  <c r="K29" i="9"/>
  <c r="Q29" i="9" s="1"/>
  <c r="J100" i="9"/>
  <c r="J101" i="9" s="1"/>
  <c r="H103" i="9"/>
  <c r="Q103" i="9" s="1"/>
  <c r="Q9" i="9"/>
  <c r="Q80" i="9"/>
  <c r="H100" i="9"/>
  <c r="H104" i="9"/>
  <c r="Q104" i="9" s="1"/>
  <c r="M100" i="9"/>
  <c r="L50" i="7"/>
  <c r="L51" i="7" s="1"/>
  <c r="Q51" i="7" s="1"/>
  <c r="P50" i="7"/>
  <c r="M10" i="2"/>
  <c r="M25" i="2"/>
  <c r="M20" i="2"/>
  <c r="D5" i="2"/>
  <c r="M5" i="2" s="1"/>
  <c r="K15" i="2"/>
  <c r="L15" i="2" s="1"/>
  <c r="Q9" i="1"/>
  <c r="Q11" i="1"/>
  <c r="P24" i="1"/>
  <c r="Q24" i="1" s="1"/>
  <c r="O22" i="1"/>
  <c r="P22" i="1" s="1"/>
  <c r="O7" i="1"/>
  <c r="Q10" i="1"/>
  <c r="I5" i="1"/>
  <c r="M7" i="1"/>
  <c r="M5" i="1" s="1"/>
  <c r="M22" i="1"/>
  <c r="Q22" i="1" s="1"/>
  <c r="N22" i="1"/>
  <c r="H52" i="13" l="1"/>
  <c r="H50" i="13"/>
  <c r="K52" i="13"/>
  <c r="K50" i="13"/>
  <c r="Q22" i="13"/>
  <c r="Q41" i="13" s="1"/>
  <c r="Q38" i="11"/>
  <c r="Q35" i="11"/>
  <c r="Q23" i="11"/>
  <c r="O101" i="9"/>
  <c r="P101" i="9" s="1"/>
  <c r="P100" i="9"/>
  <c r="Q100" i="9"/>
  <c r="H101" i="9"/>
  <c r="Q101" i="9" s="1"/>
  <c r="Q77" i="9"/>
  <c r="M101" i="9"/>
  <c r="Q50" i="7"/>
  <c r="M15" i="2"/>
  <c r="O5" i="1"/>
  <c r="P5" i="1" s="1"/>
  <c r="P7" i="1"/>
  <c r="Q7" i="1"/>
  <c r="Q50" i="13" l="1"/>
  <c r="Q52" i="13" s="1"/>
  <c r="Q5" i="1"/>
</calcChain>
</file>

<file path=xl/sharedStrings.xml><?xml version="1.0" encoding="utf-8"?>
<sst xmlns="http://schemas.openxmlformats.org/spreadsheetml/2006/main" count="1693" uniqueCount="567">
  <si>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</si>
  <si>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</si>
  <si>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</si>
  <si>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</si>
  <si>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</si>
  <si>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</si>
  <si>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</si>
  <si>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</si>
  <si>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</si>
  <si>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</si>
  <si>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</si>
  <si>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</si>
  <si>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</si>
  <si>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</si>
  <si>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</si>
  <si>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</si>
  <si>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</si>
  <si>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</si>
  <si>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</si>
  <si>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</si>
  <si>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</si>
  <si>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</si>
  <si>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</si>
  <si>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</si>
  <si>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</si>
  <si>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</si>
  <si>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</si>
  <si>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</si>
  <si>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</si>
  <si>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</si>
  <si>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</si>
  <si>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</si>
  <si>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</si>
  <si>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Начальник отдела образования администрации города Дивногорска</t>
  </si>
  <si>
    <t>Г.В.Кабацура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</si>
  <si>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</si>
  <si>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</si>
  <si>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</si>
  <si>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</si>
  <si>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</si>
  <si>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</si>
  <si>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</si>
  <si>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</si>
  <si>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</si>
  <si>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</si>
  <si>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</si>
  <si>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</si>
  <si>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</si>
  <si>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</si>
  <si>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</si>
  <si>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Всего</t>
  </si>
  <si>
    <t>в том числе: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</si>
  <si>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</si>
  <si>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</si>
  <si>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</si>
  <si>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</si>
  <si>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</si>
  <si>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</si>
  <si>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</si>
  <si>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</si>
  <si>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</si>
  <si>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</si>
  <si>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</si>
  <si>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</si>
  <si>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</si>
  <si>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</si>
  <si>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</si>
  <si>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</si>
  <si>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</si>
  <si>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</si>
  <si>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</si>
  <si>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</si>
  <si>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</si>
  <si>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</si>
  <si>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</si>
  <si>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</si>
  <si>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</si>
  <si>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</si>
  <si>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</si>
  <si>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</si>
  <si>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</si>
  <si>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</si>
  <si>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</si>
  <si>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</si>
  <si>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</si>
  <si>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</si>
  <si>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</si>
  <si>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</si>
  <si>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</si>
  <si>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</si>
  <si>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</si>
  <si>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</si>
  <si>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</si>
  <si>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</si>
  <si>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</si>
  <si>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</si>
  <si>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</si>
  <si>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</si>
  <si>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</si>
  <si>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</si>
  <si>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</si>
  <si>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</si>
  <si>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</si>
  <si>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</si>
  <si>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</si>
  <si>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</si>
  <si>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</si>
  <si>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</si>
  <si>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</si>
  <si>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</si>
  <si>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</si>
  <si>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</si>
  <si>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</si>
  <si>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</si>
  <si>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</si>
  <si>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</si>
  <si>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</si>
  <si>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</si>
  <si>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</si>
  <si>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</si>
  <si>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</si>
  <si>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</si>
  <si>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</si>
  <si>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</si>
  <si>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</si>
  <si>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</si>
  <si>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</si>
  <si>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</si>
  <si>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</si>
  <si>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</si>
  <si>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</si>
  <si>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</si>
  <si>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</si>
  <si>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</si>
  <si>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</si>
  <si>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</si>
  <si>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</si>
  <si>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</si>
  <si>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</si>
  <si>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</si>
  <si>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</si>
  <si>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</si>
  <si>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</si>
  <si>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</si>
  <si>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</si>
  <si>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</si>
  <si>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</si>
  <si>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</si>
  <si>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</si>
  <si>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</si>
  <si>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</si>
  <si>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</si>
  <si>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</si>
  <si>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</si>
  <si>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</si>
  <si>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</si>
  <si>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</si>
  <si>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</si>
  <si>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</si>
  <si>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</si>
  <si>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</si>
  <si>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</si>
  <si>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</si>
  <si>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</si>
  <si>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</si>
  <si>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</si>
  <si>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</si>
  <si>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</si>
  <si>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</si>
  <si>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</si>
  <si>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</si>
  <si>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</si>
  <si>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</si>
  <si>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</si>
  <si>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</si>
  <si>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</si>
  <si>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</si>
  <si>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</si>
  <si>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</si>
  <si>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</si>
  <si>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</si>
  <si>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</si>
  <si>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</si>
  <si>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</si>
  <si>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</si>
  <si>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</si>
  <si>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</si>
  <si>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</si>
  <si>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</si>
  <si>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</si>
  <si>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</si>
  <si>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</si>
  <si>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</si>
  <si>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</si>
  <si>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</si>
  <si>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</si>
  <si>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</si>
  <si>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</si>
  <si>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</si>
  <si>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</si>
  <si>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</si>
  <si>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</si>
  <si>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</si>
  <si>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</si>
  <si>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</si>
  <si>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</si>
  <si>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</si>
  <si>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</si>
  <si>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</si>
  <si>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</si>
  <si>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</si>
  <si>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</si>
  <si>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</si>
  <si>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</si>
  <si>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</si>
  <si>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</si>
  <si>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</si>
  <si>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</si>
  <si>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</si>
  <si>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</si>
  <si>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</si>
  <si>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</si>
  <si>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</si>
  <si>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</si>
  <si>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</si>
  <si>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</si>
  <si>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</si>
  <si>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</si>
  <si>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</si>
  <si>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</si>
  <si>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</si>
  <si>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</si>
  <si>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</si>
  <si>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</si>
  <si>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</si>
  <si>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</si>
  <si>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</si>
  <si>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</si>
  <si>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</si>
  <si>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</si>
  <si>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</si>
  <si>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</si>
  <si>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2023 год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</si>
  <si>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</si>
  <si>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</si>
  <si>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</si>
  <si>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</si>
  <si>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</si>
  <si>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</si>
  <si>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</si>
  <si>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</si>
  <si>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</si>
  <si>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</si>
  <si>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</si>
  <si>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r>
  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  </r>
    <r>
      <rPr>
        <sz val="12"/>
        <color indexed="10"/>
        <rFont val="Times New Roman"/>
        <family val="1"/>
        <charset val="204"/>
      </rPr>
      <t>(попробуйте изменить формулировку, чтобы было общее понимание, что мониторим)</t>
    </r>
  </si>
  <si>
    <t>Г.В. Кабацура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</si>
  <si>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</si>
  <si>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</si>
  <si>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</si>
  <si>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</si>
  <si>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</si>
  <si>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</si>
  <si>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</si>
  <si>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</si>
  <si>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</si>
  <si>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</si>
  <si>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</si>
  <si>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</si>
  <si>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</si>
  <si>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</si>
  <si>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</si>
  <si>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</si>
  <si>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</si>
  <si>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</si>
  <si>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</si>
  <si>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</si>
  <si>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</si>
  <si>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</si>
  <si>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</t>
  </si>
  <si>
    <t>011001047Б, 0110010230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</si>
  <si>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</si>
  <si>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</si>
  <si>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</si>
  <si>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</si>
  <si>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</si>
  <si>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</si>
  <si>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</si>
  <si>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</si>
  <si>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</si>
  <si>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</si>
  <si>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</si>
  <si>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</si>
  <si>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</si>
  <si>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</si>
  <si>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</si>
  <si>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</si>
  <si>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</si>
  <si>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</si>
  <si>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</si>
  <si>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</si>
  <si>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</si>
  <si>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</si>
  <si>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</si>
  <si>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</si>
  <si>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</si>
  <si>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</si>
  <si>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</si>
  <si>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</si>
  <si>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</si>
  <si>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</si>
  <si>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</si>
  <si>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</si>
  <si>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</si>
  <si>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</si>
  <si>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</si>
  <si>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</si>
  <si>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</si>
  <si>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</si>
  <si>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</si>
  <si>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</si>
  <si>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</si>
  <si>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</si>
  <si>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</si>
  <si>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</si>
  <si>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</si>
  <si>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</si>
  <si>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</si>
  <si>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</si>
  <si>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</si>
  <si>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</si>
  <si>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</si>
  <si>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</si>
  <si>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</si>
  <si>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</si>
  <si>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</si>
  <si>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</si>
  <si>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</si>
  <si>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</si>
  <si>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</si>
  <si>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</si>
  <si>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</si>
  <si>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</si>
  <si>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</si>
  <si>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</si>
  <si>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</si>
  <si>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</si>
  <si>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</si>
  <si>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</si>
  <si>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</si>
  <si>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</si>
  <si>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</si>
  <si>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</si>
  <si>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</si>
  <si>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</si>
  <si>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</si>
  <si>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</si>
  <si>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</si>
  <si>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</si>
  <si>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</si>
  <si>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</si>
  <si>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</si>
  <si>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</si>
  <si>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</si>
  <si>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</si>
  <si>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</si>
  <si>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</si>
  <si>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</si>
  <si>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</si>
  <si>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</si>
  <si>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</si>
  <si>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</si>
  <si>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</si>
  <si>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</si>
  <si>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</si>
  <si>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</si>
  <si>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612,622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</si>
  <si>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</si>
  <si>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</si>
  <si>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</si>
  <si>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</si>
  <si>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</si>
  <si>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</si>
  <si>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0120080710</t>
  </si>
  <si>
    <t>0128072</t>
  </si>
  <si>
    <t>0128081</t>
  </si>
  <si>
    <t>01200S031P</t>
  </si>
  <si>
    <t>01200S031M</t>
  </si>
  <si>
    <t>0128082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</si>
  <si>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</si>
  <si>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</si>
  <si>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</si>
  <si>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0703</t>
  </si>
  <si>
    <t>0121022</t>
  </si>
  <si>
    <t>0120074090</t>
  </si>
  <si>
    <t>012001047А, 012001038А</t>
  </si>
  <si>
    <t>012001047Б, 012001038А</t>
  </si>
  <si>
    <t>0120010230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</si>
  <si>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</si>
  <si>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</si>
  <si>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</si>
  <si>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</si>
  <si>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</si>
  <si>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</si>
  <si>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</si>
  <si>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</si>
  <si>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</si>
  <si>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</si>
  <si>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</si>
  <si>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t>Софинансирование ФЦПРО</t>
  </si>
  <si>
    <t>ФМО 5210212</t>
  </si>
  <si>
    <t>строки необходимо оставить, т.к. на эти мероприятия были заявки на получение средств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</si>
  <si>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</si>
  <si>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</si>
  <si>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</si>
  <si>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</si>
  <si>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</si>
  <si>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</si>
  <si>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</si>
  <si>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</si>
  <si>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</si>
  <si>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</si>
  <si>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</si>
  <si>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01200S031М</t>
  </si>
  <si>
    <t>0120010420</t>
  </si>
  <si>
    <t>0120010480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</si>
  <si>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</si>
  <si>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</si>
  <si>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</si>
  <si>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</si>
  <si>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</si>
  <si>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</si>
  <si>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</si>
  <si>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</si>
  <si>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</si>
  <si>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</si>
  <si>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</si>
  <si>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</si>
  <si>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</si>
  <si>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</si>
  <si>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</si>
  <si>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</si>
  <si>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</si>
  <si>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</si>
  <si>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</si>
  <si>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</si>
  <si>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</si>
  <si>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</si>
  <si>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</si>
  <si>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</si>
  <si>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</si>
  <si>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Итого по задаче 3</t>
  </si>
  <si>
    <t xml:space="preserve">Всего по подпрограмме в т.ч.: </t>
  </si>
  <si>
    <t xml:space="preserve">Начальник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</si>
  <si>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</si>
  <si>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</si>
  <si>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</si>
  <si>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</si>
  <si>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</si>
  <si>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</si>
  <si>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</si>
  <si>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</si>
  <si>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</si>
  <si>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</si>
  <si>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</si>
  <si>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</si>
  <si>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</si>
  <si>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</si>
  <si>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</si>
  <si>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</si>
  <si>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820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</si>
  <si>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</si>
  <si>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</si>
  <si>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</si>
  <si>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</si>
  <si>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</si>
  <si>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</si>
  <si>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</si>
  <si>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</si>
  <si>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820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</si>
  <si>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</si>
  <si>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(м.б.)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</si>
  <si>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</si>
  <si>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</t>
  </si>
  <si>
    <r>
      <t>01300S397Г,</t>
    </r>
    <r>
      <rPr>
        <b/>
        <sz val="12"/>
        <rFont val="Times New Roman"/>
        <family val="1"/>
        <charset val="204"/>
      </rPr>
      <t xml:space="preserve"> 01300S397Ю,01300S649U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</si>
  <si>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</si>
  <si>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</si>
  <si>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</si>
  <si>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</si>
  <si>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</si>
  <si>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</si>
  <si>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0137583;  013007397Д, 0130073970, 0130076490</t>
  </si>
  <si>
    <t>320,240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</si>
  <si>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</si>
  <si>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</si>
  <si>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</si>
  <si>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</si>
  <si>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</si>
  <si>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</si>
  <si>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</si>
  <si>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</si>
  <si>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</si>
  <si>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</si>
  <si>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</si>
  <si>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</si>
  <si>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</si>
  <si>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240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</si>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</sst>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#,##0.0"/>
    <numFmt numFmtId="169" formatCode="#,##0.0_ ;\-#,##0.0\ "/>
    <numFmt numFmtId="170" formatCode="_-* #,##0.00_р_._-;\-* #,##0.00_р_._-;_-* &quot;-&quot;?_р_._-;_-@_-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489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3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/>
    <xf numFmtId="164" fontId="2" fillId="3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3" borderId="2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3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top" wrapText="1"/>
    </xf>
    <xf numFmtId="4" fontId="2" fillId="3" borderId="2" xfId="1" applyNumberFormat="1" applyFont="1" applyFill="1" applyBorder="1" applyAlignment="1">
      <alignment horizontal="right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top" wrapText="1" indent="1"/>
    </xf>
    <xf numFmtId="0" fontId="6" fillId="3" borderId="2" xfId="0" applyFont="1" applyFill="1" applyBorder="1" applyAlignment="1">
      <alignment horizontal="right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top" wrapText="1" indent="2"/>
    </xf>
    <xf numFmtId="4" fontId="2" fillId="5" borderId="2" xfId="1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2" fillId="3" borderId="0" xfId="0" applyFont="1" applyFill="1"/>
    <xf numFmtId="0" fontId="2" fillId="3" borderId="9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67" fontId="2" fillId="0" borderId="2" xfId="0" applyNumberFormat="1" applyFont="1" applyFill="1" applyBorder="1" applyAlignment="1">
      <alignment horizontal="center" vertical="center"/>
    </xf>
    <xf numFmtId="167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167" fontId="2" fillId="0" borderId="0" xfId="0" applyNumberFormat="1" applyFont="1" applyFill="1"/>
    <xf numFmtId="167" fontId="2" fillId="0" borderId="0" xfId="0" applyNumberFormat="1" applyFont="1"/>
    <xf numFmtId="0" fontId="2" fillId="0" borderId="0" xfId="0" applyFont="1" applyAlignment="1">
      <alignment horizontal="right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top" wrapText="1"/>
    </xf>
    <xf numFmtId="0" fontId="8" fillId="0" borderId="0" xfId="0" applyFont="1" applyFill="1"/>
    <xf numFmtId="0" fontId="4" fillId="0" borderId="0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/>
    </xf>
    <xf numFmtId="2" fontId="2" fillId="3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 indent="1"/>
    </xf>
    <xf numFmtId="0" fontId="2" fillId="3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167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3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top" wrapText="1" indent="1"/>
    </xf>
    <xf numFmtId="3" fontId="2" fillId="0" borderId="2" xfId="2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left" vertical="top" wrapText="1" indent="1"/>
    </xf>
    <xf numFmtId="0" fontId="2" fillId="5" borderId="2" xfId="2" applyFont="1" applyFill="1" applyBorder="1" applyAlignment="1">
      <alignment horizontal="center" vertical="center" wrapText="1"/>
    </xf>
    <xf numFmtId="0" fontId="2" fillId="5" borderId="2" xfId="2" applyFont="1" applyFill="1" applyBorder="1" applyAlignment="1">
      <alignment horizontal="center" vertical="top" wrapText="1"/>
    </xf>
    <xf numFmtId="0" fontId="2" fillId="5" borderId="2" xfId="2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3" borderId="0" xfId="0" applyFont="1" applyFill="1" applyBorder="1"/>
    <xf numFmtId="0" fontId="2" fillId="3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168" fontId="2" fillId="0" borderId="2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Border="1" applyAlignment="1">
      <alignment horizontal="right" wrapText="1"/>
    </xf>
    <xf numFmtId="0" fontId="0" fillId="3" borderId="0" xfId="0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49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2" fillId="3" borderId="8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2" fillId="3" borderId="6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67" fontId="2" fillId="3" borderId="5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3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2" fillId="5" borderId="2" xfId="0" applyFont="1" applyFill="1" applyBorder="1" applyAlignment="1">
      <alignment horizontal="left" vertical="center" wrapText="1" indent="1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 wrapText="1" inden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0" fontId="2" fillId="3" borderId="0" xfId="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4" fontId="2" fillId="5" borderId="2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18" fillId="3" borderId="2" xfId="0" applyNumberFormat="1" applyFont="1" applyFill="1" applyBorder="1" applyAlignment="1">
      <alignment horizontal="right"/>
    </xf>
    <xf numFmtId="4" fontId="18" fillId="0" borderId="2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164" fontId="19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justify" vertical="center" wrapText="1"/>
    </xf>
    <xf numFmtId="0" fontId="14" fillId="3" borderId="0" xfId="0" applyFont="1" applyFill="1"/>
    <xf numFmtId="0" fontId="2" fillId="0" borderId="2" xfId="0" applyFont="1" applyBorder="1" applyAlignment="1">
      <alignment horizontal="justify" vertical="center" wrapText="1"/>
    </xf>
    <xf numFmtId="0" fontId="14" fillId="0" borderId="0" xfId="0" applyFont="1" applyFill="1" applyAlignment="1">
      <alignment wrapText="1"/>
    </xf>
    <xf numFmtId="49" fontId="21" fillId="0" borderId="0" xfId="0" applyNumberFormat="1" applyFont="1" applyFill="1" applyAlignment="1">
      <alignment vertical="center"/>
    </xf>
    <xf numFmtId="0" fontId="21" fillId="0" borderId="0" xfId="0" applyFont="1" applyFill="1"/>
    <xf numFmtId="0" fontId="21" fillId="0" borderId="0" xfId="0" applyFont="1" applyFill="1" applyAlignment="1"/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textRotation="90"/>
    </xf>
    <xf numFmtId="0" fontId="23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49" fontId="11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4" fontId="18" fillId="0" borderId="2" xfId="0" applyNumberFormat="1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center" vertical="top"/>
    </xf>
    <xf numFmtId="49" fontId="17" fillId="3" borderId="2" xfId="0" applyNumberFormat="1" applyFont="1" applyFill="1" applyBorder="1" applyAlignment="1">
      <alignment horizontal="left" vertical="center"/>
    </xf>
    <xf numFmtId="0" fontId="17" fillId="6" borderId="2" xfId="0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21" fillId="3" borderId="2" xfId="0" applyNumberFormat="1" applyFont="1" applyFill="1" applyBorder="1" applyAlignment="1">
      <alignment horizontal="left" vertical="top"/>
    </xf>
    <xf numFmtId="0" fontId="21" fillId="3" borderId="2" xfId="0" applyNumberFormat="1" applyFont="1" applyFill="1" applyBorder="1" applyAlignment="1">
      <alignment horizontal="center" vertical="top"/>
    </xf>
    <xf numFmtId="4" fontId="21" fillId="3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1" fillId="3" borderId="2" xfId="0" applyNumberFormat="1" applyFont="1" applyFill="1" applyBorder="1"/>
    <xf numFmtId="0" fontId="21" fillId="3" borderId="2" xfId="0" applyFont="1" applyFill="1" applyBorder="1" applyAlignment="1">
      <alignment horizontal="center" vertical="top" wrapText="1"/>
    </xf>
    <xf numFmtId="0" fontId="21" fillId="3" borderId="2" xfId="0" applyFont="1" applyFill="1" applyBorder="1"/>
    <xf numFmtId="0" fontId="2" fillId="0" borderId="0" xfId="0" applyFont="1" applyFill="1" applyAlignment="1">
      <alignment vertical="center"/>
    </xf>
    <xf numFmtId="4" fontId="21" fillId="3" borderId="2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4" fontId="16" fillId="0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6" fillId="0" borderId="0" xfId="2" applyFont="1" applyFill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14" fontId="2" fillId="0" borderId="2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vertical="center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5" fillId="0" borderId="0" xfId="0" applyFont="1" applyFill="1"/>
    <xf numFmtId="0" fontId="26" fillId="0" borderId="0" xfId="0" applyFont="1" applyFill="1"/>
    <xf numFmtId="168" fontId="6" fillId="0" borderId="0" xfId="0" applyNumberFormat="1" applyFont="1" applyFill="1" applyBorder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164" fontId="18" fillId="0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28" fillId="0" borderId="2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left" vertical="top" wrapText="1"/>
    </xf>
    <xf numFmtId="170" fontId="2" fillId="3" borderId="2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top" wrapText="1"/>
    </xf>
    <xf numFmtId="49" fontId="6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top" wrapText="1"/>
    </xf>
    <xf numFmtId="49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164" fontId="29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0" fontId="6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23" fillId="0" borderId="0" xfId="0" applyFont="1" applyFill="1"/>
    <xf numFmtId="0" fontId="2" fillId="0" borderId="2" xfId="2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2" fillId="7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2" xfId="0" applyFont="1" applyFill="1" applyBorder="1"/>
    <xf numFmtId="0" fontId="21" fillId="0" borderId="2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165" fontId="32" fillId="0" borderId="0" xfId="0" applyNumberFormat="1" applyFont="1" applyFill="1"/>
    <xf numFmtId="0" fontId="3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_1_2%20&#1082;%20&#1087;&#1072;&#1089;&#1087;&#1086;&#1088;&#1090;&#1091;%20&#1052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="70" zoomScaleNormal="70" workbookViewId="0">
      <selection activeCell="K10" sqref="K10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4" customWidth="1"/>
    <col min="12" max="16" width="15.42578125" style="1" customWidth="1"/>
    <col min="17" max="17" width="17" style="1" customWidth="1"/>
    <col min="18" max="16384" width="9.28515625" style="1"/>
  </cols>
  <sheetData>
    <row r="1" spans="1:18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</row>
    <row r="2" spans="1:18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10"/>
    </row>
    <row r="4" spans="1:18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1">
        <v>2019</v>
      </c>
      <c r="N4" s="11">
        <v>2020</v>
      </c>
      <c r="O4" s="11">
        <v>2021</v>
      </c>
      <c r="P4" s="13">
        <v>2022</v>
      </c>
      <c r="Q4" s="11" t="s">
        <v>11</v>
      </c>
    </row>
    <row r="5" spans="1:18" ht="48" customHeight="1" x14ac:dyDescent="0.25">
      <c r="A5" s="14" t="s">
        <v>12</v>
      </c>
      <c r="B5" s="15" t="s">
        <v>13</v>
      </c>
      <c r="C5" s="16" t="s">
        <v>14</v>
      </c>
      <c r="D5" s="17" t="s">
        <v>15</v>
      </c>
      <c r="E5" s="17" t="s">
        <v>15</v>
      </c>
      <c r="F5" s="17" t="s">
        <v>15</v>
      </c>
      <c r="G5" s="17" t="s">
        <v>15</v>
      </c>
      <c r="H5" s="18">
        <f t="shared" ref="H5:N5" si="0">H7+H8+H9+H10</f>
        <v>447829.6</v>
      </c>
      <c r="I5" s="18">
        <f t="shared" si="0"/>
        <v>473625.60000000003</v>
      </c>
      <c r="J5" s="19">
        <f>J7+J8+J9+J10</f>
        <v>511729.7</v>
      </c>
      <c r="K5" s="19">
        <f t="shared" si="0"/>
        <v>523227.99999999994</v>
      </c>
      <c r="L5" s="19">
        <f t="shared" si="0"/>
        <v>549349</v>
      </c>
      <c r="M5" s="19">
        <f>M7+M8+M9+M10</f>
        <v>604784.30000000005</v>
      </c>
      <c r="N5" s="19">
        <f t="shared" si="0"/>
        <v>499285.2</v>
      </c>
      <c r="O5" s="19">
        <f>O7+O8+O9+O10</f>
        <v>499285.2</v>
      </c>
      <c r="P5" s="19">
        <f>O5</f>
        <v>499285.2</v>
      </c>
      <c r="Q5" s="19">
        <f>SUM(H5:P5)</f>
        <v>4608401.8000000007</v>
      </c>
    </row>
    <row r="6" spans="1:18" x14ac:dyDescent="0.25">
      <c r="A6" s="20"/>
      <c r="B6" s="21"/>
      <c r="C6" s="16" t="s">
        <v>16</v>
      </c>
      <c r="D6" s="22"/>
      <c r="E6" s="22"/>
      <c r="F6" s="22"/>
      <c r="G6" s="22"/>
      <c r="H6" s="22"/>
      <c r="I6" s="23"/>
      <c r="J6" s="23"/>
      <c r="K6" s="24"/>
      <c r="L6" s="24"/>
      <c r="M6" s="24"/>
      <c r="N6" s="24"/>
      <c r="O6" s="24"/>
      <c r="P6" s="19">
        <f t="shared" ref="P6:P26" si="1">O6</f>
        <v>0</v>
      </c>
      <c r="Q6" s="19">
        <f t="shared" ref="Q6:Q26" si="2">SUM(H6:P6)</f>
        <v>0</v>
      </c>
    </row>
    <row r="7" spans="1:18" ht="51.75" customHeight="1" x14ac:dyDescent="0.25">
      <c r="A7" s="20"/>
      <c r="B7" s="21"/>
      <c r="C7" s="16" t="s">
        <v>17</v>
      </c>
      <c r="D7" s="25" t="s">
        <v>18</v>
      </c>
      <c r="E7" s="17" t="s">
        <v>15</v>
      </c>
      <c r="F7" s="17" t="s">
        <v>15</v>
      </c>
      <c r="G7" s="17" t="s">
        <v>15</v>
      </c>
      <c r="H7" s="26">
        <f t="shared" ref="H7:O7" si="3">H13+H18+H21+H24</f>
        <v>426153.3</v>
      </c>
      <c r="I7" s="26">
        <f t="shared" si="3"/>
        <v>451251.20000000001</v>
      </c>
      <c r="J7" s="26">
        <f t="shared" si="3"/>
        <v>486929.2</v>
      </c>
      <c r="K7" s="27">
        <f t="shared" si="3"/>
        <v>498675.49999999994</v>
      </c>
      <c r="L7" s="27">
        <f t="shared" si="3"/>
        <v>523112</v>
      </c>
      <c r="M7" s="27">
        <f t="shared" si="3"/>
        <v>578224.9</v>
      </c>
      <c r="N7" s="27">
        <f t="shared" si="3"/>
        <v>482614.4</v>
      </c>
      <c r="O7" s="27">
        <f t="shared" si="3"/>
        <v>482614.4</v>
      </c>
      <c r="P7" s="19">
        <f t="shared" si="1"/>
        <v>482614.4</v>
      </c>
      <c r="Q7" s="19">
        <f t="shared" si="2"/>
        <v>4412189.3</v>
      </c>
      <c r="R7" s="28"/>
    </row>
    <row r="8" spans="1:18" ht="49.5" hidden="1" customHeight="1" x14ac:dyDescent="0.25">
      <c r="A8" s="20"/>
      <c r="B8" s="21"/>
      <c r="C8" s="29" t="s">
        <v>19</v>
      </c>
      <c r="D8" s="30" t="s">
        <v>20</v>
      </c>
      <c r="E8" s="17" t="s">
        <v>15</v>
      </c>
      <c r="F8" s="17" t="s">
        <v>15</v>
      </c>
      <c r="G8" s="17" t="s">
        <v>15</v>
      </c>
      <c r="H8" s="26"/>
      <c r="I8" s="26"/>
      <c r="J8" s="26"/>
      <c r="K8" s="27"/>
      <c r="L8" s="27"/>
      <c r="M8" s="27">
        <f>M17</f>
        <v>0</v>
      </c>
      <c r="N8" s="27"/>
      <c r="O8" s="27"/>
      <c r="P8" s="19">
        <f t="shared" si="1"/>
        <v>0</v>
      </c>
      <c r="Q8" s="19">
        <f t="shared" si="2"/>
        <v>0</v>
      </c>
    </row>
    <row r="9" spans="1:18" ht="39.950000000000003" customHeight="1" x14ac:dyDescent="0.25">
      <c r="A9" s="20"/>
      <c r="B9" s="21"/>
      <c r="C9" s="31" t="s">
        <v>21</v>
      </c>
      <c r="D9" s="25" t="s">
        <v>22</v>
      </c>
      <c r="E9" s="17" t="s">
        <v>15</v>
      </c>
      <c r="F9" s="17" t="s">
        <v>15</v>
      </c>
      <c r="G9" s="17" t="s">
        <v>15</v>
      </c>
      <c r="H9" s="26">
        <f t="shared" ref="H9:N9" si="4">H26</f>
        <v>14153.1</v>
      </c>
      <c r="I9" s="26">
        <f t="shared" si="4"/>
        <v>14936.4</v>
      </c>
      <c r="J9" s="26">
        <f t="shared" si="4"/>
        <v>15316.7</v>
      </c>
      <c r="K9" s="27">
        <f t="shared" si="4"/>
        <v>15372.5</v>
      </c>
      <c r="L9" s="27">
        <f t="shared" si="4"/>
        <v>15995.1</v>
      </c>
      <c r="M9" s="27">
        <f t="shared" si="4"/>
        <v>16651.5</v>
      </c>
      <c r="N9" s="27">
        <f t="shared" si="4"/>
        <v>15153.6</v>
      </c>
      <c r="O9" s="27">
        <f>O26</f>
        <v>15153.6</v>
      </c>
      <c r="P9" s="19">
        <f t="shared" si="1"/>
        <v>15153.6</v>
      </c>
      <c r="Q9" s="19">
        <f t="shared" si="2"/>
        <v>137886.1</v>
      </c>
    </row>
    <row r="10" spans="1:18" ht="39.950000000000003" customHeight="1" x14ac:dyDescent="0.25">
      <c r="A10" s="32"/>
      <c r="B10" s="33"/>
      <c r="C10" s="31" t="s">
        <v>19</v>
      </c>
      <c r="D10" s="25" t="s">
        <v>20</v>
      </c>
      <c r="E10" s="17" t="s">
        <v>15</v>
      </c>
      <c r="F10" s="17" t="s">
        <v>15</v>
      </c>
      <c r="G10" s="17" t="s">
        <v>15</v>
      </c>
      <c r="H10" s="26">
        <f t="shared" ref="H10:N10" si="5">H25</f>
        <v>7523.2</v>
      </c>
      <c r="I10" s="26">
        <f t="shared" si="5"/>
        <v>7438</v>
      </c>
      <c r="J10" s="26">
        <f t="shared" si="5"/>
        <v>9483.7999999999993</v>
      </c>
      <c r="K10" s="27">
        <f t="shared" si="5"/>
        <v>9180</v>
      </c>
      <c r="L10" s="27">
        <f t="shared" si="5"/>
        <v>10241.9</v>
      </c>
      <c r="M10" s="27">
        <f t="shared" si="5"/>
        <v>9907.9</v>
      </c>
      <c r="N10" s="27">
        <f t="shared" si="5"/>
        <v>1517.2</v>
      </c>
      <c r="O10" s="27">
        <f>O25</f>
        <v>1517.2</v>
      </c>
      <c r="P10" s="19">
        <f t="shared" si="1"/>
        <v>1517.2</v>
      </c>
      <c r="Q10" s="19">
        <f t="shared" si="2"/>
        <v>58326.399999999994</v>
      </c>
    </row>
    <row r="11" spans="1:18" ht="46.5" customHeight="1" x14ac:dyDescent="0.25">
      <c r="A11" s="34" t="s">
        <v>23</v>
      </c>
      <c r="B11" s="34" t="s">
        <v>24</v>
      </c>
      <c r="C11" s="31" t="s">
        <v>14</v>
      </c>
      <c r="D11" s="35" t="s">
        <v>15</v>
      </c>
      <c r="E11" s="36" t="s">
        <v>15</v>
      </c>
      <c r="F11" s="35" t="s">
        <v>15</v>
      </c>
      <c r="G11" s="37" t="s">
        <v>15</v>
      </c>
      <c r="H11" s="26">
        <f t="shared" ref="H11:O11" si="6">H13+H14</f>
        <v>198091.6</v>
      </c>
      <c r="I11" s="26">
        <f t="shared" si="6"/>
        <v>204824.6</v>
      </c>
      <c r="J11" s="26">
        <f t="shared" si="6"/>
        <v>219030.5</v>
      </c>
      <c r="K11" s="27">
        <f t="shared" si="6"/>
        <v>218633.1</v>
      </c>
      <c r="L11" s="27">
        <f t="shared" si="6"/>
        <v>229336.9</v>
      </c>
      <c r="M11" s="27">
        <f t="shared" si="6"/>
        <v>265133.40000000002</v>
      </c>
      <c r="N11" s="27">
        <f t="shared" si="6"/>
        <v>218059.1</v>
      </c>
      <c r="O11" s="27">
        <f t="shared" si="6"/>
        <v>218059.1</v>
      </c>
      <c r="P11" s="19">
        <f t="shared" si="1"/>
        <v>218059.1</v>
      </c>
      <c r="Q11" s="19">
        <f t="shared" si="2"/>
        <v>1989227.4000000004</v>
      </c>
    </row>
    <row r="12" spans="1:18" x14ac:dyDescent="0.25">
      <c r="A12" s="34"/>
      <c r="B12" s="34"/>
      <c r="C12" s="31" t="s">
        <v>16</v>
      </c>
      <c r="D12" s="38"/>
      <c r="E12" s="39"/>
      <c r="F12" s="38"/>
      <c r="G12" s="40"/>
      <c r="H12" s="40"/>
      <c r="I12" s="26"/>
      <c r="J12" s="26"/>
      <c r="K12" s="27"/>
      <c r="L12" s="27"/>
      <c r="M12" s="27"/>
      <c r="N12" s="27"/>
      <c r="O12" s="27"/>
      <c r="P12" s="19">
        <f t="shared" si="1"/>
        <v>0</v>
      </c>
      <c r="Q12" s="19">
        <f t="shared" si="2"/>
        <v>0</v>
      </c>
    </row>
    <row r="13" spans="1:18" ht="55.5" customHeight="1" x14ac:dyDescent="0.25">
      <c r="A13" s="34"/>
      <c r="B13" s="34"/>
      <c r="C13" s="16" t="s">
        <v>17</v>
      </c>
      <c r="D13" s="36" t="s">
        <v>18</v>
      </c>
      <c r="E13" s="36" t="s">
        <v>15</v>
      </c>
      <c r="F13" s="35" t="s">
        <v>15</v>
      </c>
      <c r="G13" s="37" t="s">
        <v>15</v>
      </c>
      <c r="H13" s="26">
        <v>198091.6</v>
      </c>
      <c r="I13" s="26">
        <v>204824.6</v>
      </c>
      <c r="J13" s="26">
        <v>219030.5</v>
      </c>
      <c r="K13" s="27">
        <v>218633.1</v>
      </c>
      <c r="L13" s="27">
        <v>229336.9</v>
      </c>
      <c r="M13" s="27">
        <v>265133.40000000002</v>
      </c>
      <c r="N13" s="27">
        <v>218059.1</v>
      </c>
      <c r="O13" s="27">
        <v>218059.1</v>
      </c>
      <c r="P13" s="19">
        <f t="shared" si="1"/>
        <v>218059.1</v>
      </c>
      <c r="Q13" s="19">
        <f t="shared" si="2"/>
        <v>1989227.4000000004</v>
      </c>
    </row>
    <row r="14" spans="1:18" ht="63" x14ac:dyDescent="0.25">
      <c r="A14" s="34"/>
      <c r="B14" s="34"/>
      <c r="C14" s="16" t="s">
        <v>25</v>
      </c>
      <c r="D14" s="36" t="s">
        <v>26</v>
      </c>
      <c r="E14" s="36" t="s">
        <v>15</v>
      </c>
      <c r="F14" s="35" t="s">
        <v>15</v>
      </c>
      <c r="G14" s="37" t="s">
        <v>15</v>
      </c>
      <c r="H14" s="26"/>
      <c r="I14" s="26"/>
      <c r="J14" s="26">
        <v>0</v>
      </c>
      <c r="K14" s="27"/>
      <c r="L14" s="27"/>
      <c r="M14" s="27"/>
      <c r="N14" s="27"/>
      <c r="O14" s="27"/>
      <c r="P14" s="19">
        <f t="shared" si="1"/>
        <v>0</v>
      </c>
      <c r="Q14" s="19">
        <f t="shared" si="2"/>
        <v>0</v>
      </c>
    </row>
    <row r="15" spans="1:18" ht="47.25" x14ac:dyDescent="0.25">
      <c r="A15" s="41" t="s">
        <v>27</v>
      </c>
      <c r="B15" s="42" t="s">
        <v>28</v>
      </c>
      <c r="C15" s="31" t="s">
        <v>14</v>
      </c>
      <c r="D15" s="35" t="s">
        <v>15</v>
      </c>
      <c r="E15" s="36" t="s">
        <v>15</v>
      </c>
      <c r="F15" s="35" t="s">
        <v>15</v>
      </c>
      <c r="G15" s="37" t="s">
        <v>15</v>
      </c>
      <c r="H15" s="26">
        <f t="shared" ref="H15:N15" si="7">H18</f>
        <v>214621.9</v>
      </c>
      <c r="I15" s="26">
        <f t="shared" si="7"/>
        <v>231479.1</v>
      </c>
      <c r="J15" s="26">
        <f t="shared" si="7"/>
        <v>252889.60000000001</v>
      </c>
      <c r="K15" s="27">
        <f t="shared" si="7"/>
        <v>262736.59999999998</v>
      </c>
      <c r="L15" s="27">
        <f t="shared" si="7"/>
        <v>275850</v>
      </c>
      <c r="M15" s="27">
        <f>M17+M18</f>
        <v>286762</v>
      </c>
      <c r="N15" s="27">
        <f t="shared" si="7"/>
        <v>230247.6</v>
      </c>
      <c r="O15" s="27">
        <f>O18</f>
        <v>230247.6</v>
      </c>
      <c r="P15" s="19">
        <f t="shared" si="1"/>
        <v>230247.6</v>
      </c>
      <c r="Q15" s="19">
        <f t="shared" si="2"/>
        <v>2215082</v>
      </c>
    </row>
    <row r="16" spans="1:18" x14ac:dyDescent="0.25">
      <c r="A16" s="43"/>
      <c r="B16" s="44"/>
      <c r="C16" s="31" t="s">
        <v>16</v>
      </c>
      <c r="D16" s="38"/>
      <c r="E16" s="39"/>
      <c r="F16" s="38"/>
      <c r="G16" s="40"/>
      <c r="H16" s="26"/>
      <c r="I16" s="26"/>
      <c r="J16" s="26"/>
      <c r="K16" s="27"/>
      <c r="L16" s="27"/>
      <c r="M16" s="27"/>
      <c r="N16" s="27"/>
      <c r="O16" s="27"/>
      <c r="P16" s="19">
        <f t="shared" si="1"/>
        <v>0</v>
      </c>
      <c r="Q16" s="19">
        <f t="shared" si="2"/>
        <v>0</v>
      </c>
    </row>
    <row r="17" spans="1:17" ht="31.5" hidden="1" x14ac:dyDescent="0.25">
      <c r="A17" s="43"/>
      <c r="B17" s="44"/>
      <c r="C17" s="29" t="s">
        <v>19</v>
      </c>
      <c r="D17" s="30" t="s">
        <v>20</v>
      </c>
      <c r="E17" s="17" t="s">
        <v>15</v>
      </c>
      <c r="F17" s="17" t="s">
        <v>15</v>
      </c>
      <c r="G17" s="17" t="s">
        <v>15</v>
      </c>
      <c r="H17" s="26"/>
      <c r="I17" s="26"/>
      <c r="J17" s="26"/>
      <c r="K17" s="27"/>
      <c r="L17" s="27"/>
      <c r="M17" s="27">
        <v>0</v>
      </c>
      <c r="N17" s="27"/>
      <c r="O17" s="27"/>
      <c r="P17" s="19">
        <f t="shared" si="1"/>
        <v>0</v>
      </c>
      <c r="Q17" s="19">
        <f t="shared" si="2"/>
        <v>0</v>
      </c>
    </row>
    <row r="18" spans="1:17" ht="50.25" customHeight="1" x14ac:dyDescent="0.25">
      <c r="A18" s="43"/>
      <c r="B18" s="45"/>
      <c r="C18" s="16" t="s">
        <v>17</v>
      </c>
      <c r="D18" s="46">
        <v>975</v>
      </c>
      <c r="E18" s="36" t="s">
        <v>15</v>
      </c>
      <c r="F18" s="35" t="s">
        <v>15</v>
      </c>
      <c r="G18" s="37" t="s">
        <v>15</v>
      </c>
      <c r="H18" s="47">
        <v>214621.9</v>
      </c>
      <c r="I18" s="26">
        <v>231479.1</v>
      </c>
      <c r="J18" s="26">
        <v>252889.60000000001</v>
      </c>
      <c r="K18" s="27">
        <v>262736.59999999998</v>
      </c>
      <c r="L18" s="27">
        <v>275850</v>
      </c>
      <c r="M18" s="27">
        <v>286762</v>
      </c>
      <c r="N18" s="27">
        <v>230247.6</v>
      </c>
      <c r="O18" s="27">
        <f>N18</f>
        <v>230247.6</v>
      </c>
      <c r="P18" s="19">
        <f t="shared" si="1"/>
        <v>230247.6</v>
      </c>
      <c r="Q18" s="19">
        <f t="shared" si="2"/>
        <v>2215082</v>
      </c>
    </row>
    <row r="19" spans="1:17" ht="47.25" customHeight="1" x14ac:dyDescent="0.25">
      <c r="A19" s="41" t="s">
        <v>29</v>
      </c>
      <c r="B19" s="42" t="s">
        <v>30</v>
      </c>
      <c r="C19" s="31" t="s">
        <v>14</v>
      </c>
      <c r="D19" s="36" t="s">
        <v>18</v>
      </c>
      <c r="E19" s="36" t="s">
        <v>15</v>
      </c>
      <c r="F19" s="35" t="s">
        <v>15</v>
      </c>
      <c r="G19" s="37" t="s">
        <v>15</v>
      </c>
      <c r="H19" s="26">
        <f t="shared" ref="H19:N19" si="8">H21</f>
        <v>6990.7</v>
      </c>
      <c r="I19" s="26">
        <f t="shared" si="8"/>
        <v>7764.9</v>
      </c>
      <c r="J19" s="26">
        <f t="shared" si="8"/>
        <v>7414.4</v>
      </c>
      <c r="K19" s="27">
        <f t="shared" si="8"/>
        <v>8058.3</v>
      </c>
      <c r="L19" s="27">
        <f t="shared" si="8"/>
        <v>7980.8</v>
      </c>
      <c r="M19" s="27">
        <f t="shared" si="8"/>
        <v>8572.2999999999993</v>
      </c>
      <c r="N19" s="27">
        <f t="shared" si="8"/>
        <v>8572.2999999999993</v>
      </c>
      <c r="O19" s="27">
        <f>O21</f>
        <v>8572.2999999999993</v>
      </c>
      <c r="P19" s="19">
        <f t="shared" si="1"/>
        <v>8572.2999999999993</v>
      </c>
      <c r="Q19" s="19">
        <f t="shared" si="2"/>
        <v>72498.3</v>
      </c>
    </row>
    <row r="20" spans="1:17" x14ac:dyDescent="0.25">
      <c r="A20" s="43"/>
      <c r="B20" s="44"/>
      <c r="C20" s="31" t="s">
        <v>16</v>
      </c>
      <c r="D20" s="38"/>
      <c r="E20" s="39"/>
      <c r="F20" s="38"/>
      <c r="G20" s="40"/>
      <c r="H20" s="26"/>
      <c r="I20" s="26"/>
      <c r="J20" s="26"/>
      <c r="K20" s="27"/>
      <c r="L20" s="27"/>
      <c r="M20" s="27"/>
      <c r="N20" s="27"/>
      <c r="O20" s="27"/>
      <c r="P20" s="19">
        <f t="shared" si="1"/>
        <v>0</v>
      </c>
      <c r="Q20" s="19">
        <f t="shared" si="2"/>
        <v>0</v>
      </c>
    </row>
    <row r="21" spans="1:17" ht="55.5" customHeight="1" x14ac:dyDescent="0.25">
      <c r="A21" s="43"/>
      <c r="B21" s="45"/>
      <c r="C21" s="16" t="s">
        <v>17</v>
      </c>
      <c r="D21" s="48">
        <v>975</v>
      </c>
      <c r="E21" s="49" t="s">
        <v>15</v>
      </c>
      <c r="F21" s="48" t="s">
        <v>15</v>
      </c>
      <c r="G21" s="50" t="s">
        <v>15</v>
      </c>
      <c r="H21" s="26">
        <v>6990.7</v>
      </c>
      <c r="I21" s="26">
        <v>7764.9</v>
      </c>
      <c r="J21" s="26">
        <v>7414.4</v>
      </c>
      <c r="K21" s="27">
        <v>8058.3</v>
      </c>
      <c r="L21" s="27">
        <v>7980.8</v>
      </c>
      <c r="M21" s="27">
        <v>8572.2999999999993</v>
      </c>
      <c r="N21" s="27">
        <v>8572.2999999999993</v>
      </c>
      <c r="O21" s="27">
        <v>8572.2999999999993</v>
      </c>
      <c r="P21" s="19">
        <f t="shared" si="1"/>
        <v>8572.2999999999993</v>
      </c>
      <c r="Q21" s="19">
        <f t="shared" si="2"/>
        <v>72498.3</v>
      </c>
    </row>
    <row r="22" spans="1:17" ht="47.25" customHeight="1" x14ac:dyDescent="0.25">
      <c r="A22" s="51" t="s">
        <v>31</v>
      </c>
      <c r="B22" s="42" t="s">
        <v>32</v>
      </c>
      <c r="C22" s="31" t="s">
        <v>14</v>
      </c>
      <c r="D22" s="35"/>
      <c r="E22" s="36"/>
      <c r="F22" s="35"/>
      <c r="G22" s="37"/>
      <c r="H22" s="26">
        <f t="shared" ref="H22:N22" si="9">H24+H25+H26</f>
        <v>28125.4</v>
      </c>
      <c r="I22" s="26">
        <f t="shared" si="9"/>
        <v>29557</v>
      </c>
      <c r="J22" s="26">
        <f t="shared" si="9"/>
        <v>32395.200000000001</v>
      </c>
      <c r="K22" s="27">
        <f>K24+K25+K26</f>
        <v>33800</v>
      </c>
      <c r="L22" s="27">
        <f>L24+L25+L26</f>
        <v>36181.299999999996</v>
      </c>
      <c r="M22" s="27">
        <f t="shared" si="9"/>
        <v>44316.6</v>
      </c>
      <c r="N22" s="27">
        <f t="shared" si="9"/>
        <v>42406.200000000004</v>
      </c>
      <c r="O22" s="27">
        <f>O24+O25+O26</f>
        <v>42406.200000000004</v>
      </c>
      <c r="P22" s="19">
        <f t="shared" si="1"/>
        <v>42406.200000000004</v>
      </c>
      <c r="Q22" s="19">
        <f t="shared" si="2"/>
        <v>331594.10000000003</v>
      </c>
    </row>
    <row r="23" spans="1:17" x14ac:dyDescent="0.25">
      <c r="A23" s="51"/>
      <c r="B23" s="44"/>
      <c r="C23" s="31" t="s">
        <v>16</v>
      </c>
      <c r="D23" s="38"/>
      <c r="E23" s="39"/>
      <c r="F23" s="38"/>
      <c r="G23" s="40"/>
      <c r="H23" s="26"/>
      <c r="I23" s="26"/>
      <c r="J23" s="26"/>
      <c r="K23" s="27"/>
      <c r="L23" s="27"/>
      <c r="M23" s="27"/>
      <c r="N23" s="27"/>
      <c r="O23" s="27"/>
      <c r="P23" s="19">
        <f t="shared" si="1"/>
        <v>0</v>
      </c>
      <c r="Q23" s="19">
        <f t="shared" si="2"/>
        <v>0</v>
      </c>
    </row>
    <row r="24" spans="1:17" ht="48.75" customHeight="1" x14ac:dyDescent="0.25">
      <c r="A24" s="51"/>
      <c r="B24" s="44"/>
      <c r="C24" s="16" t="s">
        <v>17</v>
      </c>
      <c r="D24" s="36" t="s">
        <v>18</v>
      </c>
      <c r="E24" s="36" t="s">
        <v>15</v>
      </c>
      <c r="F24" s="35"/>
      <c r="G24" s="37"/>
      <c r="H24" s="26">
        <v>6449.1</v>
      </c>
      <c r="I24" s="26">
        <v>7182.6</v>
      </c>
      <c r="J24" s="26">
        <v>7594.7</v>
      </c>
      <c r="K24" s="27">
        <v>9247.5</v>
      </c>
      <c r="L24" s="27">
        <v>9944.2999999999993</v>
      </c>
      <c r="M24" s="27">
        <f>44316.6-M25-M26</f>
        <v>17757.199999999997</v>
      </c>
      <c r="N24" s="27">
        <f>9213+16522.4</f>
        <v>25735.4</v>
      </c>
      <c r="O24" s="27">
        <f>N24</f>
        <v>25735.4</v>
      </c>
      <c r="P24" s="19">
        <f t="shared" si="1"/>
        <v>25735.4</v>
      </c>
      <c r="Q24" s="19">
        <f t="shared" si="2"/>
        <v>135381.59999999998</v>
      </c>
    </row>
    <row r="25" spans="1:17" ht="39" customHeight="1" x14ac:dyDescent="0.25">
      <c r="A25" s="51"/>
      <c r="B25" s="44"/>
      <c r="C25" s="31" t="s">
        <v>19</v>
      </c>
      <c r="D25" s="35">
        <v>906</v>
      </c>
      <c r="E25" s="36" t="s">
        <v>15</v>
      </c>
      <c r="F25" s="35"/>
      <c r="G25" s="35"/>
      <c r="H25" s="27">
        <v>7523.2</v>
      </c>
      <c r="I25" s="27">
        <f>3247.3+4190.7</f>
        <v>7438</v>
      </c>
      <c r="J25" s="27">
        <f>9009.9+473.9</f>
        <v>9483.7999999999993</v>
      </c>
      <c r="K25" s="27">
        <f>8415+765</f>
        <v>9180</v>
      </c>
      <c r="L25" s="27">
        <v>10241.9</v>
      </c>
      <c r="M25" s="27">
        <v>9907.9</v>
      </c>
      <c r="N25" s="27">
        <v>1517.2</v>
      </c>
      <c r="O25" s="27">
        <v>1517.2</v>
      </c>
      <c r="P25" s="19">
        <f t="shared" si="1"/>
        <v>1517.2</v>
      </c>
      <c r="Q25" s="19">
        <f t="shared" si="2"/>
        <v>58326.399999999994</v>
      </c>
    </row>
    <row r="26" spans="1:17" ht="30" customHeight="1" x14ac:dyDescent="0.25">
      <c r="A26" s="51"/>
      <c r="B26" s="45"/>
      <c r="C26" s="31" t="s">
        <v>21</v>
      </c>
      <c r="D26" s="48">
        <v>976</v>
      </c>
      <c r="E26" s="49" t="s">
        <v>15</v>
      </c>
      <c r="F26" s="38"/>
      <c r="G26" s="38"/>
      <c r="H26" s="26">
        <v>14153.1</v>
      </c>
      <c r="I26" s="26">
        <v>14936.4</v>
      </c>
      <c r="J26" s="27">
        <v>15316.7</v>
      </c>
      <c r="K26" s="27">
        <v>15372.5</v>
      </c>
      <c r="L26" s="27">
        <v>15995.1</v>
      </c>
      <c r="M26" s="27">
        <v>16651.5</v>
      </c>
      <c r="N26" s="27">
        <v>15153.6</v>
      </c>
      <c r="O26" s="27">
        <v>15153.6</v>
      </c>
      <c r="P26" s="19">
        <f t="shared" si="1"/>
        <v>15153.6</v>
      </c>
      <c r="Q26" s="19">
        <f t="shared" si="2"/>
        <v>137886.1</v>
      </c>
    </row>
    <row r="27" spans="1:17" x14ac:dyDescent="0.25">
      <c r="I27" s="52"/>
      <c r="J27" s="52"/>
      <c r="K27" s="53"/>
      <c r="L27" s="52"/>
      <c r="M27" s="52"/>
      <c r="N27" s="52"/>
      <c r="O27" s="52"/>
      <c r="P27" s="52"/>
    </row>
    <row r="28" spans="1:17" ht="18.75" customHeight="1" x14ac:dyDescent="0.25">
      <c r="A28" s="1" t="s">
        <v>33</v>
      </c>
      <c r="Q28" s="1" t="s">
        <v>34</v>
      </c>
    </row>
    <row r="29" spans="1:17" x14ac:dyDescent="0.25">
      <c r="K29" s="55"/>
      <c r="L29" s="55"/>
      <c r="M29" s="55"/>
      <c r="N29" s="55"/>
      <c r="O29" s="55"/>
      <c r="P29" s="55"/>
      <c r="Q29" s="55"/>
    </row>
    <row r="31" spans="1:17" x14ac:dyDescent="0.25">
      <c r="L31" s="56"/>
    </row>
    <row r="32" spans="1:17" x14ac:dyDescent="0.25">
      <c r="L32" s="56"/>
    </row>
    <row r="33" spans="12:17" x14ac:dyDescent="0.25">
      <c r="Q33" s="52"/>
    </row>
    <row r="34" spans="12:17" x14ac:dyDescent="0.25">
      <c r="L34" s="56"/>
      <c r="Q34" s="52"/>
    </row>
    <row r="36" spans="12:17" x14ac:dyDescent="0.25">
      <c r="Q36" s="52"/>
    </row>
    <row r="37" spans="12:17" x14ac:dyDescent="0.25">
      <c r="Q37" s="52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Q1"/>
    <mergeCell ref="A2:Q2"/>
    <mergeCell ref="A3:A4"/>
    <mergeCell ref="B3:B4"/>
    <mergeCell ref="C3:C4"/>
    <mergeCell ref="D3:G3"/>
    <mergeCell ref="H3:Q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view="pageBreakPreview" topLeftCell="C1" zoomScaleNormal="100" zoomScaleSheetLayoutView="100" workbookViewId="0">
      <selection activeCell="M12" sqref="M12"/>
    </sheetView>
  </sheetViews>
  <sheetFormatPr defaultRowHeight="15.75" x14ac:dyDescent="0.25"/>
  <cols>
    <col min="1" max="1" width="7.42578125" style="54" customWidth="1"/>
    <col min="2" max="2" width="79.140625" style="54" customWidth="1"/>
    <col min="3" max="3" width="12" style="54" customWidth="1"/>
    <col min="4" max="4" width="16.28515625" style="54" customWidth="1"/>
    <col min="5" max="5" width="9.140625" style="54" hidden="1" customWidth="1"/>
    <col min="6" max="8" width="11.42578125" style="54" customWidth="1"/>
    <col min="9" max="11" width="11.42578125" style="394" customWidth="1"/>
    <col min="12" max="12" width="11.42578125" style="395" customWidth="1"/>
    <col min="13" max="13" width="11.42578125" style="54" customWidth="1"/>
    <col min="14" max="16384" width="9.140625" style="54"/>
  </cols>
  <sheetData>
    <row r="1" spans="1:14" ht="50.25" customHeight="1" x14ac:dyDescent="0.25">
      <c r="A1" s="107"/>
      <c r="B1" s="108"/>
      <c r="C1" s="109"/>
      <c r="D1" s="108"/>
      <c r="F1" s="385" t="s">
        <v>453</v>
      </c>
      <c r="G1" s="385"/>
      <c r="H1" s="385"/>
      <c r="I1" s="385"/>
      <c r="J1" s="385"/>
      <c r="K1" s="385"/>
      <c r="L1" s="385"/>
    </row>
    <row r="2" spans="1:14" ht="26.25" customHeight="1" x14ac:dyDescent="0.25">
      <c r="A2" s="185" t="s">
        <v>245</v>
      </c>
      <c r="B2" s="185"/>
      <c r="C2" s="185"/>
      <c r="D2" s="185"/>
      <c r="E2" s="185"/>
      <c r="F2" s="185"/>
      <c r="G2" s="185"/>
      <c r="H2" s="185"/>
      <c r="I2" s="185"/>
      <c r="J2" s="386"/>
      <c r="K2" s="386"/>
      <c r="L2" s="386"/>
    </row>
    <row r="3" spans="1:14" ht="53.25" customHeight="1" x14ac:dyDescent="0.25">
      <c r="A3" s="113" t="s">
        <v>88</v>
      </c>
      <c r="B3" s="114" t="s">
        <v>246</v>
      </c>
      <c r="C3" s="114" t="s">
        <v>90</v>
      </c>
      <c r="D3" s="114" t="s">
        <v>92</v>
      </c>
      <c r="E3" s="51" t="s">
        <v>93</v>
      </c>
      <c r="F3" s="51" t="s">
        <v>41</v>
      </c>
      <c r="G3" s="51" t="s">
        <v>42</v>
      </c>
      <c r="H3" s="51" t="s">
        <v>43</v>
      </c>
      <c r="I3" s="51" t="s">
        <v>44</v>
      </c>
      <c r="J3" s="51" t="s">
        <v>45</v>
      </c>
      <c r="K3" s="51" t="s">
        <v>46</v>
      </c>
      <c r="L3" s="51" t="s">
        <v>47</v>
      </c>
      <c r="M3" s="51" t="s">
        <v>48</v>
      </c>
      <c r="N3" s="51" t="s">
        <v>49</v>
      </c>
    </row>
    <row r="4" spans="1:14" s="133" customFormat="1" ht="22.5" customHeight="1" x14ac:dyDescent="0.2">
      <c r="A4" s="113"/>
      <c r="B4" s="114"/>
      <c r="C4" s="114"/>
      <c r="D4" s="114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ht="21.75" hidden="1" customHeight="1" x14ac:dyDescent="0.25">
      <c r="A5" s="113"/>
      <c r="B5" s="114"/>
      <c r="C5" s="114"/>
      <c r="D5" s="114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36" customHeight="1" x14ac:dyDescent="0.25">
      <c r="A6" s="197" t="s">
        <v>454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30" customHeight="1" x14ac:dyDescent="0.25">
      <c r="A7" s="387" t="s">
        <v>455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9"/>
    </row>
    <row r="8" spans="1:14" ht="31.5" x14ac:dyDescent="0.25">
      <c r="A8" s="390" t="s">
        <v>456</v>
      </c>
      <c r="B8" s="142" t="s">
        <v>457</v>
      </c>
      <c r="C8" s="150" t="s">
        <v>96</v>
      </c>
      <c r="D8" s="116" t="s">
        <v>101</v>
      </c>
      <c r="E8" s="118"/>
      <c r="F8" s="117">
        <v>82.9</v>
      </c>
      <c r="G8" s="117">
        <v>82.9</v>
      </c>
      <c r="H8" s="117">
        <v>93.2</v>
      </c>
      <c r="I8" s="117">
        <v>93.7</v>
      </c>
      <c r="J8" s="117">
        <v>94</v>
      </c>
      <c r="K8" s="117">
        <v>94</v>
      </c>
      <c r="L8" s="117">
        <v>94</v>
      </c>
      <c r="M8" s="117">
        <v>94</v>
      </c>
      <c r="N8" s="117">
        <v>94</v>
      </c>
    </row>
    <row r="9" spans="1:14" ht="33.75" customHeight="1" x14ac:dyDescent="0.25">
      <c r="A9" s="387" t="s">
        <v>458</v>
      </c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9"/>
    </row>
    <row r="10" spans="1:14" ht="31.5" x14ac:dyDescent="0.25">
      <c r="A10" s="391" t="s">
        <v>459</v>
      </c>
      <c r="B10" s="142" t="s">
        <v>460</v>
      </c>
      <c r="C10" s="150" t="s">
        <v>96</v>
      </c>
      <c r="D10" s="116" t="s">
        <v>101</v>
      </c>
      <c r="E10" s="118"/>
      <c r="F10" s="117">
        <v>73</v>
      </c>
      <c r="G10" s="117">
        <v>74</v>
      </c>
      <c r="H10" s="117">
        <v>89</v>
      </c>
      <c r="I10" s="117">
        <v>90</v>
      </c>
      <c r="J10" s="117">
        <v>92</v>
      </c>
      <c r="K10" s="117">
        <v>95</v>
      </c>
      <c r="L10" s="117">
        <v>95</v>
      </c>
      <c r="M10" s="117">
        <v>95</v>
      </c>
      <c r="N10" s="117">
        <v>95</v>
      </c>
    </row>
    <row r="11" spans="1:14" ht="47.25" x14ac:dyDescent="0.25">
      <c r="A11" s="391" t="s">
        <v>461</v>
      </c>
      <c r="B11" s="142" t="s">
        <v>176</v>
      </c>
      <c r="C11" s="392" t="s">
        <v>96</v>
      </c>
      <c r="D11" s="116" t="s">
        <v>101</v>
      </c>
      <c r="E11" s="116">
        <v>15.6</v>
      </c>
      <c r="F11" s="117">
        <v>70</v>
      </c>
      <c r="G11" s="117">
        <v>70</v>
      </c>
      <c r="H11" s="117">
        <v>95</v>
      </c>
      <c r="I11" s="117">
        <v>97</v>
      </c>
      <c r="J11" s="117">
        <v>97</v>
      </c>
      <c r="K11" s="117">
        <v>98</v>
      </c>
      <c r="L11" s="117">
        <v>98</v>
      </c>
      <c r="M11" s="117">
        <v>98</v>
      </c>
      <c r="N11" s="117">
        <v>98</v>
      </c>
    </row>
    <row r="12" spans="1:14" x14ac:dyDescent="0.25">
      <c r="A12" s="161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</row>
    <row r="13" spans="1:14" x14ac:dyDescent="0.25">
      <c r="A13" s="215" t="s">
        <v>33</v>
      </c>
      <c r="B13" s="215"/>
      <c r="C13" s="215"/>
      <c r="I13" s="393" t="s">
        <v>34</v>
      </c>
      <c r="J13" s="393"/>
      <c r="K13" s="393"/>
      <c r="L13" s="393"/>
    </row>
  </sheetData>
  <mergeCells count="20">
    <mergeCell ref="A6:N6"/>
    <mergeCell ref="A7:M7"/>
    <mergeCell ref="A9:M9"/>
    <mergeCell ref="I13:L13"/>
    <mergeCell ref="I3:I5"/>
    <mergeCell ref="J3:J5"/>
    <mergeCell ref="K3:K5"/>
    <mergeCell ref="L3:L5"/>
    <mergeCell ref="M3:M5"/>
    <mergeCell ref="N3:N5"/>
    <mergeCell ref="F1:L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31496062992125984" top="0.55118110236220474" bottom="0.35433070866141736" header="0.31496062992125984" footer="0.31496062992125984"/>
  <pageSetup paperSize="9" scale="65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view="pageBreakPreview" zoomScale="98" zoomScaleNormal="98" zoomScaleSheetLayoutView="98" workbookViewId="0">
      <pane xSplit="3" ySplit="5" topLeftCell="I32" activePane="bottomRight" state="frozen"/>
      <selection activeCell="Q12" sqref="Q12"/>
      <selection pane="topRight" activeCell="Q12" sqref="Q12"/>
      <selection pane="bottomLeft" activeCell="Q12" sqref="Q12"/>
      <selection pane="bottomRight" activeCell="K38" sqref="K38"/>
    </sheetView>
  </sheetViews>
  <sheetFormatPr defaultColWidth="9.28515625" defaultRowHeight="15.75" x14ac:dyDescent="0.25"/>
  <cols>
    <col min="1" max="1" width="6.5703125" style="293" customWidth="1"/>
    <col min="2" max="2" width="50.42578125" style="54" customWidth="1"/>
    <col min="3" max="3" width="21.7109375" style="294" customWidth="1"/>
    <col min="4" max="5" width="9.28515625" style="294" customWidth="1"/>
    <col min="6" max="6" width="14.85546875" style="294" customWidth="1"/>
    <col min="7" max="7" width="11.28515625" style="294" customWidth="1"/>
    <col min="8" max="8" width="12.7109375" style="294" customWidth="1"/>
    <col min="9" max="16" width="12.7109375" style="54" customWidth="1"/>
    <col min="17" max="17" width="14.7109375" style="54" customWidth="1"/>
    <col min="18" max="18" width="40.140625" style="54" customWidth="1"/>
    <col min="19" max="19" width="12" style="54" customWidth="1"/>
    <col min="20" max="16384" width="9.28515625" style="54"/>
  </cols>
  <sheetData>
    <row r="1" spans="1:19" s="179" customFormat="1" ht="75" customHeight="1" x14ac:dyDescent="0.25">
      <c r="A1" s="218"/>
      <c r="B1" s="219"/>
      <c r="C1" s="220"/>
      <c r="D1" s="220"/>
      <c r="E1" s="220"/>
      <c r="F1" s="220"/>
      <c r="G1" s="220"/>
      <c r="H1" s="220"/>
      <c r="I1" s="396"/>
      <c r="J1" s="396"/>
      <c r="Q1" s="385" t="s">
        <v>462</v>
      </c>
      <c r="R1" s="385"/>
      <c r="S1" s="397"/>
    </row>
    <row r="2" spans="1:19" s="179" customFormat="1" ht="23.25" customHeight="1" x14ac:dyDescent="0.25">
      <c r="A2" s="224" t="s">
        <v>257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1:19" s="179" customFormat="1" ht="24.75" customHeight="1" x14ac:dyDescent="0.25">
      <c r="A3" s="51" t="s">
        <v>88</v>
      </c>
      <c r="B3" s="51" t="s">
        <v>258</v>
      </c>
      <c r="C3" s="51" t="s">
        <v>7</v>
      </c>
      <c r="D3" s="398" t="s">
        <v>5</v>
      </c>
      <c r="E3" s="399"/>
      <c r="F3" s="399"/>
      <c r="G3" s="400"/>
      <c r="H3" s="401"/>
      <c r="I3" s="51" t="s">
        <v>6</v>
      </c>
      <c r="J3" s="51"/>
      <c r="K3" s="51"/>
      <c r="L3" s="51"/>
      <c r="M3" s="51"/>
      <c r="N3" s="51"/>
      <c r="O3" s="51"/>
      <c r="P3" s="51"/>
      <c r="Q3" s="51"/>
      <c r="R3" s="51" t="s">
        <v>259</v>
      </c>
    </row>
    <row r="4" spans="1:19" s="179" customFormat="1" ht="42" customHeight="1" x14ac:dyDescent="0.25">
      <c r="A4" s="51"/>
      <c r="B4" s="51"/>
      <c r="C4" s="51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1"/>
    </row>
    <row r="5" spans="1:19" ht="26.25" customHeight="1" x14ac:dyDescent="0.25">
      <c r="A5" s="34" t="s">
        <v>454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ht="28.5" hidden="1" customHeight="1" x14ac:dyDescent="0.25">
      <c r="A6" s="402"/>
      <c r="B6" s="31"/>
      <c r="C6" s="12"/>
      <c r="D6" s="228"/>
      <c r="E6" s="12"/>
      <c r="F6" s="228" t="s">
        <v>463</v>
      </c>
      <c r="G6" s="12">
        <v>530</v>
      </c>
      <c r="H6" s="12"/>
      <c r="I6" s="24"/>
      <c r="J6" s="24"/>
      <c r="K6" s="24"/>
      <c r="L6" s="24"/>
      <c r="M6" s="24"/>
      <c r="N6" s="24"/>
      <c r="O6" s="24"/>
      <c r="P6" s="24"/>
      <c r="Q6" s="24">
        <f>SUM(I6:K6)</f>
        <v>0</v>
      </c>
      <c r="R6" s="31"/>
    </row>
    <row r="7" spans="1:19" ht="21.75" customHeight="1" x14ac:dyDescent="0.25">
      <c r="A7" s="225" t="s">
        <v>464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9" ht="48" hidden="1" customHeight="1" x14ac:dyDescent="0.25">
      <c r="A8" s="226" t="s">
        <v>465</v>
      </c>
      <c r="B8" s="403" t="s">
        <v>466</v>
      </c>
      <c r="C8" s="41" t="s">
        <v>17</v>
      </c>
      <c r="D8" s="12">
        <v>975</v>
      </c>
      <c r="E8" s="228" t="s">
        <v>315</v>
      </c>
      <c r="F8" s="228" t="s">
        <v>467</v>
      </c>
      <c r="G8" s="228" t="s">
        <v>266</v>
      </c>
      <c r="H8" s="228"/>
      <c r="I8" s="31"/>
      <c r="J8" s="12"/>
      <c r="K8" s="404"/>
      <c r="L8" s="404"/>
      <c r="M8" s="404"/>
      <c r="N8" s="404"/>
      <c r="O8" s="404"/>
      <c r="P8" s="404"/>
      <c r="Q8" s="24">
        <f>SUM(G8:N8)</f>
        <v>0</v>
      </c>
      <c r="R8" s="405" t="s">
        <v>468</v>
      </c>
    </row>
    <row r="9" spans="1:19" ht="56.25" customHeight="1" x14ac:dyDescent="0.25">
      <c r="A9" s="231"/>
      <c r="B9" s="406"/>
      <c r="C9" s="43"/>
      <c r="D9" s="407" t="s">
        <v>18</v>
      </c>
      <c r="E9" s="407" t="s">
        <v>315</v>
      </c>
      <c r="F9" s="228" t="s">
        <v>467</v>
      </c>
      <c r="G9" s="12">
        <v>622</v>
      </c>
      <c r="H9" s="24">
        <v>97.2</v>
      </c>
      <c r="I9" s="24"/>
      <c r="J9" s="408"/>
      <c r="L9" s="24"/>
      <c r="M9" s="24"/>
      <c r="N9" s="24"/>
      <c r="O9" s="24"/>
      <c r="P9" s="24">
        <f>O9</f>
        <v>0</v>
      </c>
      <c r="Q9" s="24">
        <f>SUM(H9:P9)</f>
        <v>97.2</v>
      </c>
      <c r="R9" s="253" t="s">
        <v>469</v>
      </c>
    </row>
    <row r="10" spans="1:19" ht="73.900000000000006" customHeight="1" x14ac:dyDescent="0.25">
      <c r="A10" s="235"/>
      <c r="B10" s="409"/>
      <c r="C10" s="76"/>
      <c r="D10" s="407" t="s">
        <v>18</v>
      </c>
      <c r="E10" s="407" t="s">
        <v>315</v>
      </c>
      <c r="F10" s="228" t="s">
        <v>470</v>
      </c>
      <c r="G10" s="12">
        <v>244</v>
      </c>
      <c r="H10" s="24"/>
      <c r="I10" s="24">
        <v>96</v>
      </c>
      <c r="J10" s="24">
        <v>87.9</v>
      </c>
      <c r="K10" s="24">
        <v>110.6</v>
      </c>
      <c r="L10" s="24">
        <v>175</v>
      </c>
      <c r="M10" s="24">
        <v>201.4</v>
      </c>
      <c r="N10" s="24">
        <v>201.4</v>
      </c>
      <c r="O10" s="24">
        <v>201.4</v>
      </c>
      <c r="P10" s="24">
        <f>O10</f>
        <v>201.4</v>
      </c>
      <c r="Q10" s="24">
        <f t="shared" ref="Q10:Q23" si="0">SUM(H10:P10)</f>
        <v>1275.1000000000001</v>
      </c>
      <c r="R10" s="257"/>
    </row>
    <row r="11" spans="1:19" ht="99" customHeight="1" x14ac:dyDescent="0.25">
      <c r="A11" s="228" t="s">
        <v>250</v>
      </c>
      <c r="B11" s="31" t="s">
        <v>471</v>
      </c>
      <c r="C11" s="12" t="s">
        <v>17</v>
      </c>
      <c r="D11" s="407" t="s">
        <v>18</v>
      </c>
      <c r="E11" s="407" t="s">
        <v>315</v>
      </c>
      <c r="F11" s="228" t="s">
        <v>467</v>
      </c>
      <c r="G11" s="12">
        <v>612</v>
      </c>
      <c r="H11" s="24">
        <v>214.3</v>
      </c>
      <c r="I11" s="24">
        <v>214.3</v>
      </c>
      <c r="J11" s="410"/>
      <c r="K11" s="411"/>
      <c r="L11" s="411"/>
      <c r="M11" s="411"/>
      <c r="N11" s="411"/>
      <c r="O11" s="411"/>
      <c r="P11" s="24">
        <f t="shared" ref="P11:P23" si="1">O11</f>
        <v>0</v>
      </c>
      <c r="Q11" s="24">
        <f t="shared" si="0"/>
        <v>428.6</v>
      </c>
      <c r="R11" s="358" t="s">
        <v>472</v>
      </c>
      <c r="S11" s="54">
        <v>2</v>
      </c>
    </row>
    <row r="12" spans="1:19" ht="54.75" customHeight="1" x14ac:dyDescent="0.25">
      <c r="A12" s="266" t="s">
        <v>251</v>
      </c>
      <c r="B12" s="412" t="s">
        <v>473</v>
      </c>
      <c r="C12" s="41" t="s">
        <v>17</v>
      </c>
      <c r="D12" s="413" t="s">
        <v>18</v>
      </c>
      <c r="E12" s="413" t="s">
        <v>315</v>
      </c>
      <c r="F12" s="413" t="s">
        <v>467</v>
      </c>
      <c r="G12" s="12">
        <v>622</v>
      </c>
      <c r="H12" s="24">
        <f>6.8</f>
        <v>6.8</v>
      </c>
      <c r="I12" s="24"/>
      <c r="J12" s="24"/>
      <c r="K12" s="24"/>
      <c r="L12" s="24"/>
      <c r="M12" s="24"/>
      <c r="N12" s="24"/>
      <c r="O12" s="24"/>
      <c r="P12" s="24">
        <f t="shared" si="1"/>
        <v>0</v>
      </c>
      <c r="Q12" s="24">
        <f t="shared" si="0"/>
        <v>6.8</v>
      </c>
      <c r="R12" s="253" t="s">
        <v>474</v>
      </c>
    </row>
    <row r="13" spans="1:19" ht="42.75" customHeight="1" x14ac:dyDescent="0.25">
      <c r="A13" s="267"/>
      <c r="B13" s="414"/>
      <c r="C13" s="76"/>
      <c r="D13" s="413" t="s">
        <v>18</v>
      </c>
      <c r="E13" s="413" t="s">
        <v>315</v>
      </c>
      <c r="F13" s="413" t="s">
        <v>467</v>
      </c>
      <c r="G13" s="415">
        <v>244</v>
      </c>
      <c r="H13" s="24"/>
      <c r="I13" s="24">
        <v>6.8</v>
      </c>
      <c r="J13" s="24"/>
      <c r="K13" s="24"/>
      <c r="L13" s="24"/>
      <c r="M13" s="24"/>
      <c r="N13" s="24"/>
      <c r="O13" s="24"/>
      <c r="P13" s="24">
        <f t="shared" si="1"/>
        <v>0</v>
      </c>
      <c r="Q13" s="24">
        <f t="shared" si="0"/>
        <v>6.8</v>
      </c>
      <c r="R13" s="257"/>
    </row>
    <row r="14" spans="1:19" ht="53.25" customHeight="1" x14ac:dyDescent="0.25">
      <c r="A14" s="226" t="s">
        <v>253</v>
      </c>
      <c r="B14" s="412" t="s">
        <v>475</v>
      </c>
      <c r="C14" s="41" t="s">
        <v>17</v>
      </c>
      <c r="D14" s="413" t="s">
        <v>18</v>
      </c>
      <c r="E14" s="413" t="s">
        <v>315</v>
      </c>
      <c r="F14" s="413" t="s">
        <v>476</v>
      </c>
      <c r="G14" s="415" t="s">
        <v>477</v>
      </c>
      <c r="H14" s="12">
        <v>1367.3</v>
      </c>
      <c r="I14" s="24">
        <v>1367.3</v>
      </c>
      <c r="J14" s="24">
        <v>1309.4000000000001</v>
      </c>
      <c r="K14" s="24">
        <f>1648.2</f>
        <v>1648.2</v>
      </c>
      <c r="L14" s="24">
        <v>1812.7</v>
      </c>
      <c r="M14" s="24"/>
      <c r="N14" s="24"/>
      <c r="O14" s="24"/>
      <c r="P14" s="24">
        <f t="shared" si="1"/>
        <v>0</v>
      </c>
      <c r="Q14" s="24">
        <f t="shared" si="0"/>
        <v>7504.9</v>
      </c>
      <c r="R14" s="253" t="s">
        <v>478</v>
      </c>
    </row>
    <row r="15" spans="1:19" ht="49.5" customHeight="1" x14ac:dyDescent="0.25">
      <c r="A15" s="231"/>
      <c r="B15" s="414"/>
      <c r="C15" s="43"/>
      <c r="D15" s="413" t="s">
        <v>18</v>
      </c>
      <c r="E15" s="413" t="s">
        <v>315</v>
      </c>
      <c r="F15" s="413" t="s">
        <v>479</v>
      </c>
      <c r="G15" s="415">
        <v>622</v>
      </c>
      <c r="H15" s="12">
        <v>344.4</v>
      </c>
      <c r="I15" s="24">
        <v>344.4</v>
      </c>
      <c r="J15" s="24">
        <v>338.1</v>
      </c>
      <c r="K15" s="416">
        <v>0</v>
      </c>
      <c r="L15" s="24"/>
      <c r="M15" s="24"/>
      <c r="N15" s="24"/>
      <c r="O15" s="24"/>
      <c r="P15" s="24">
        <f t="shared" si="1"/>
        <v>0</v>
      </c>
      <c r="Q15" s="24">
        <f t="shared" si="0"/>
        <v>1026.9000000000001</v>
      </c>
      <c r="R15" s="417"/>
    </row>
    <row r="16" spans="1:19" ht="46.5" customHeight="1" x14ac:dyDescent="0.25">
      <c r="A16" s="231"/>
      <c r="B16" s="412" t="s">
        <v>480</v>
      </c>
      <c r="C16" s="43"/>
      <c r="D16" s="413" t="s">
        <v>18</v>
      </c>
      <c r="E16" s="413" t="s">
        <v>315</v>
      </c>
      <c r="F16" s="413" t="s">
        <v>481</v>
      </c>
      <c r="G16" s="415" t="s">
        <v>482</v>
      </c>
      <c r="H16" s="12">
        <v>1.4</v>
      </c>
      <c r="I16" s="24">
        <v>286.10000000000002</v>
      </c>
      <c r="J16" s="24">
        <v>746.2</v>
      </c>
      <c r="K16" s="24">
        <v>358.1</v>
      </c>
      <c r="L16" s="24">
        <v>358.1</v>
      </c>
      <c r="M16" s="24">
        <v>401.7</v>
      </c>
      <c r="N16" s="24">
        <v>401.7</v>
      </c>
      <c r="O16" s="24">
        <v>401.7</v>
      </c>
      <c r="P16" s="24">
        <f t="shared" si="1"/>
        <v>401.7</v>
      </c>
      <c r="Q16" s="24">
        <f t="shared" si="0"/>
        <v>3356.6999999999994</v>
      </c>
      <c r="R16" s="417"/>
    </row>
    <row r="17" spans="1:19" ht="53.25" customHeight="1" x14ac:dyDescent="0.25">
      <c r="A17" s="231"/>
      <c r="B17" s="414"/>
      <c r="C17" s="43"/>
      <c r="D17" s="413" t="s">
        <v>18</v>
      </c>
      <c r="E17" s="413" t="s">
        <v>315</v>
      </c>
      <c r="F17" s="413" t="s">
        <v>483</v>
      </c>
      <c r="G17" s="415" t="s">
        <v>484</v>
      </c>
      <c r="H17" s="12">
        <v>0.4</v>
      </c>
      <c r="I17" s="24">
        <v>72.099999999999994</v>
      </c>
      <c r="J17" s="24">
        <v>73.5</v>
      </c>
      <c r="K17" s="24">
        <v>580.79999999999995</v>
      </c>
      <c r="L17" s="24">
        <v>516.5</v>
      </c>
      <c r="M17" s="24">
        <v>579.79999999999995</v>
      </c>
      <c r="N17" s="24">
        <v>579.79999999999995</v>
      </c>
      <c r="O17" s="24">
        <v>579.79999999999995</v>
      </c>
      <c r="P17" s="24">
        <f t="shared" si="1"/>
        <v>579.79999999999995</v>
      </c>
      <c r="Q17" s="24">
        <f t="shared" si="0"/>
        <v>3562.5</v>
      </c>
      <c r="R17" s="417"/>
    </row>
    <row r="18" spans="1:19" ht="62.25" customHeight="1" x14ac:dyDescent="0.25">
      <c r="A18" s="235"/>
      <c r="B18" s="418" t="s">
        <v>485</v>
      </c>
      <c r="C18" s="76"/>
      <c r="D18" s="413" t="s">
        <v>18</v>
      </c>
      <c r="E18" s="413" t="s">
        <v>315</v>
      </c>
      <c r="F18" s="413" t="s">
        <v>15</v>
      </c>
      <c r="G18" s="413" t="s">
        <v>15</v>
      </c>
      <c r="H18" s="24">
        <v>533</v>
      </c>
      <c r="I18" s="24">
        <v>705.2</v>
      </c>
      <c r="J18" s="24">
        <v>691.4</v>
      </c>
      <c r="K18" s="24">
        <v>691.4</v>
      </c>
      <c r="L18" s="24">
        <v>691.4</v>
      </c>
      <c r="M18" s="24">
        <f>579.8+201.4</f>
        <v>781.19999999999993</v>
      </c>
      <c r="N18" s="24">
        <f>579.8+201.4</f>
        <v>781.19999999999993</v>
      </c>
      <c r="O18" s="24">
        <f>579.8+201.4</f>
        <v>781.19999999999993</v>
      </c>
      <c r="P18" s="24">
        <f t="shared" si="1"/>
        <v>781.19999999999993</v>
      </c>
      <c r="Q18" s="24">
        <f t="shared" si="0"/>
        <v>6437.2</v>
      </c>
      <c r="R18" s="257"/>
    </row>
    <row r="19" spans="1:19" ht="95.45" customHeight="1" x14ac:dyDescent="0.25">
      <c r="A19" s="419"/>
      <c r="B19" s="418" t="s">
        <v>486</v>
      </c>
      <c r="C19" s="12" t="s">
        <v>17</v>
      </c>
      <c r="D19" s="413" t="s">
        <v>18</v>
      </c>
      <c r="E19" s="413" t="s">
        <v>315</v>
      </c>
      <c r="F19" s="413" t="s">
        <v>487</v>
      </c>
      <c r="G19" s="413" t="s">
        <v>488</v>
      </c>
      <c r="H19" s="24"/>
      <c r="I19" s="24"/>
      <c r="J19" s="24"/>
      <c r="K19" s="24"/>
      <c r="L19" s="24"/>
      <c r="M19" s="24"/>
      <c r="N19" s="24"/>
      <c r="O19" s="24"/>
      <c r="P19" s="24">
        <f t="shared" si="1"/>
        <v>0</v>
      </c>
      <c r="Q19" s="24">
        <f t="shared" si="0"/>
        <v>0</v>
      </c>
      <c r="R19" s="420"/>
    </row>
    <row r="20" spans="1:19" ht="129.75" customHeight="1" x14ac:dyDescent="0.25">
      <c r="A20" s="402" t="s">
        <v>327</v>
      </c>
      <c r="B20" s="421" t="s">
        <v>489</v>
      </c>
      <c r="C20" s="12" t="s">
        <v>17</v>
      </c>
      <c r="D20" s="228" t="s">
        <v>18</v>
      </c>
      <c r="E20" s="228" t="s">
        <v>315</v>
      </c>
      <c r="F20" s="228" t="s">
        <v>490</v>
      </c>
      <c r="G20" s="228" t="s">
        <v>491</v>
      </c>
      <c r="H20" s="24">
        <v>2887.9</v>
      </c>
      <c r="I20" s="24">
        <v>3076.7</v>
      </c>
      <c r="J20" s="24">
        <v>2913.1</v>
      </c>
      <c r="K20" s="24">
        <v>2917.5</v>
      </c>
      <c r="L20" s="24">
        <v>3303.7</v>
      </c>
      <c r="M20" s="24">
        <v>5436.9</v>
      </c>
      <c r="N20" s="24">
        <v>5436.9</v>
      </c>
      <c r="O20" s="24">
        <v>5436.9</v>
      </c>
      <c r="P20" s="24">
        <f t="shared" si="1"/>
        <v>5436.9</v>
      </c>
      <c r="Q20" s="24">
        <f t="shared" si="0"/>
        <v>36846.500000000007</v>
      </c>
      <c r="R20" s="422" t="s">
        <v>492</v>
      </c>
      <c r="S20" s="54">
        <v>4</v>
      </c>
    </row>
    <row r="21" spans="1:19" ht="140.25" customHeight="1" x14ac:dyDescent="0.25">
      <c r="A21" s="402" t="s">
        <v>493</v>
      </c>
      <c r="B21" s="421" t="s">
        <v>494</v>
      </c>
      <c r="C21" s="12" t="s">
        <v>17</v>
      </c>
      <c r="D21" s="228" t="s">
        <v>18</v>
      </c>
      <c r="E21" s="228" t="s">
        <v>315</v>
      </c>
      <c r="F21" s="228" t="s">
        <v>495</v>
      </c>
      <c r="G21" s="228" t="s">
        <v>294</v>
      </c>
      <c r="H21" s="24">
        <v>1476.3</v>
      </c>
      <c r="I21" s="24">
        <v>1534.3</v>
      </c>
      <c r="J21" s="24">
        <v>1254.8</v>
      </c>
      <c r="K21" s="24">
        <v>1265.7</v>
      </c>
      <c r="L21" s="24">
        <v>1123.4000000000001</v>
      </c>
      <c r="M21" s="24">
        <v>1171.3</v>
      </c>
      <c r="N21" s="24">
        <v>1171.3</v>
      </c>
      <c r="O21" s="24">
        <v>1171.3</v>
      </c>
      <c r="P21" s="24">
        <f t="shared" si="1"/>
        <v>1171.3</v>
      </c>
      <c r="Q21" s="24">
        <f t="shared" si="0"/>
        <v>11339.699999999999</v>
      </c>
      <c r="R21" s="422" t="s">
        <v>496</v>
      </c>
    </row>
    <row r="22" spans="1:19" ht="140.25" hidden="1" customHeight="1" x14ac:dyDescent="0.25">
      <c r="A22" s="402" t="s">
        <v>497</v>
      </c>
      <c r="B22" s="421" t="s">
        <v>498</v>
      </c>
      <c r="C22" s="12" t="s">
        <v>17</v>
      </c>
      <c r="D22" s="228"/>
      <c r="E22" s="228"/>
      <c r="F22" s="228"/>
      <c r="G22" s="228"/>
      <c r="H22" s="24"/>
      <c r="I22" s="24"/>
      <c r="J22" s="423"/>
      <c r="K22" s="24"/>
      <c r="L22" s="24"/>
      <c r="M22" s="24"/>
      <c r="N22" s="24"/>
      <c r="O22" s="24"/>
      <c r="P22" s="24">
        <f t="shared" si="1"/>
        <v>0</v>
      </c>
      <c r="Q22" s="24">
        <f t="shared" si="0"/>
        <v>0</v>
      </c>
      <c r="R22" s="269"/>
    </row>
    <row r="23" spans="1:19" ht="21" customHeight="1" x14ac:dyDescent="0.25">
      <c r="A23" s="348" t="s">
        <v>318</v>
      </c>
      <c r="B23" s="348"/>
      <c r="C23" s="424"/>
      <c r="D23" s="424"/>
      <c r="E23" s="424"/>
      <c r="F23" s="424"/>
      <c r="G23" s="424"/>
      <c r="H23" s="24">
        <f>SUM(H9:H22)</f>
        <v>6929.0000000000009</v>
      </c>
      <c r="I23" s="24">
        <f>SUM(I9:I22)</f>
        <v>7703.2</v>
      </c>
      <c r="J23" s="24">
        <f>SUM(J9:J22)</f>
        <v>7414.4000000000005</v>
      </c>
      <c r="K23" s="24">
        <f>SUM(K8:K22)</f>
        <v>7572.3</v>
      </c>
      <c r="L23" s="24">
        <f>SUM(L8:L22)</f>
        <v>7980.7999999999993</v>
      </c>
      <c r="M23" s="24">
        <f>SUM(M8:M22)</f>
        <v>8572.2999999999993</v>
      </c>
      <c r="N23" s="24">
        <f>SUM(N8:N22)</f>
        <v>8572.2999999999993</v>
      </c>
      <c r="O23" s="24">
        <f>SUM(O8:O22)</f>
        <v>8572.2999999999993</v>
      </c>
      <c r="P23" s="24">
        <f t="shared" si="1"/>
        <v>8572.2999999999993</v>
      </c>
      <c r="Q23" s="24">
        <f t="shared" si="0"/>
        <v>71888.900000000009</v>
      </c>
      <c r="R23" s="38"/>
    </row>
    <row r="24" spans="1:19" s="377" customFormat="1" ht="30" customHeight="1" x14ac:dyDescent="0.2">
      <c r="A24" s="425" t="s">
        <v>458</v>
      </c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</row>
    <row r="25" spans="1:19" ht="35.1" customHeight="1" x14ac:dyDescent="0.25">
      <c r="A25" s="426" t="s">
        <v>329</v>
      </c>
      <c r="B25" s="427" t="s">
        <v>499</v>
      </c>
      <c r="C25" s="61" t="s">
        <v>17</v>
      </c>
      <c r="D25" s="238" t="s">
        <v>18</v>
      </c>
      <c r="E25" s="238" t="s">
        <v>315</v>
      </c>
      <c r="F25" s="238" t="s">
        <v>467</v>
      </c>
      <c r="G25" s="238" t="s">
        <v>296</v>
      </c>
      <c r="H25" s="23">
        <v>18.7</v>
      </c>
      <c r="I25" s="23"/>
      <c r="J25" s="23"/>
      <c r="K25" s="38"/>
      <c r="L25" s="38"/>
      <c r="M25" s="38"/>
      <c r="N25" s="38"/>
      <c r="O25" s="38"/>
      <c r="P25" s="38">
        <f>O25</f>
        <v>0</v>
      </c>
      <c r="Q25" s="428">
        <f>SUM(H25:P25)</f>
        <v>18.7</v>
      </c>
      <c r="R25" s="427" t="s">
        <v>500</v>
      </c>
    </row>
    <row r="26" spans="1:19" ht="35.1" customHeight="1" x14ac:dyDescent="0.25">
      <c r="A26" s="429"/>
      <c r="B26" s="430"/>
      <c r="C26" s="196"/>
      <c r="D26" s="238" t="s">
        <v>18</v>
      </c>
      <c r="E26" s="238" t="s">
        <v>315</v>
      </c>
      <c r="F26" s="238" t="s">
        <v>467</v>
      </c>
      <c r="G26" s="238" t="s">
        <v>266</v>
      </c>
      <c r="H26" s="23"/>
      <c r="I26" s="23">
        <v>18.7</v>
      </c>
      <c r="J26" s="23"/>
      <c r="K26" s="411"/>
      <c r="L26" s="411"/>
      <c r="M26" s="411"/>
      <c r="N26" s="411"/>
      <c r="O26" s="411"/>
      <c r="P26" s="38">
        <f t="shared" ref="P26:P38" si="2">O26</f>
        <v>0</v>
      </c>
      <c r="Q26" s="428">
        <f t="shared" ref="Q26:Q38" si="3">SUM(H26:P26)</f>
        <v>18.7</v>
      </c>
      <c r="R26" s="430"/>
    </row>
    <row r="27" spans="1:19" ht="35.1" customHeight="1" x14ac:dyDescent="0.25">
      <c r="A27" s="426" t="s">
        <v>330</v>
      </c>
      <c r="B27" s="431" t="s">
        <v>501</v>
      </c>
      <c r="C27" s="61" t="s">
        <v>17</v>
      </c>
      <c r="D27" s="238" t="s">
        <v>18</v>
      </c>
      <c r="E27" s="238" t="s">
        <v>315</v>
      </c>
      <c r="F27" s="238" t="s">
        <v>467</v>
      </c>
      <c r="G27" s="238" t="s">
        <v>296</v>
      </c>
      <c r="H27" s="428">
        <v>13.05</v>
      </c>
      <c r="I27" s="23"/>
      <c r="J27" s="23"/>
      <c r="K27" s="24"/>
      <c r="L27" s="24"/>
      <c r="M27" s="24"/>
      <c r="N27" s="24"/>
      <c r="O27" s="24"/>
      <c r="P27" s="38">
        <f t="shared" si="2"/>
        <v>0</v>
      </c>
      <c r="Q27" s="428">
        <f t="shared" si="3"/>
        <v>13.05</v>
      </c>
      <c r="R27" s="427" t="s">
        <v>502</v>
      </c>
    </row>
    <row r="28" spans="1:19" ht="35.1" customHeight="1" x14ac:dyDescent="0.25">
      <c r="A28" s="429"/>
      <c r="B28" s="432"/>
      <c r="C28" s="196"/>
      <c r="D28" s="238" t="s">
        <v>18</v>
      </c>
      <c r="E28" s="238" t="s">
        <v>315</v>
      </c>
      <c r="F28" s="256" t="s">
        <v>467</v>
      </c>
      <c r="G28" s="256" t="s">
        <v>266</v>
      </c>
      <c r="H28" s="428">
        <v>16.25</v>
      </c>
      <c r="I28" s="428">
        <v>29.3</v>
      </c>
      <c r="J28" s="428"/>
      <c r="K28" s="411"/>
      <c r="L28" s="411"/>
      <c r="M28" s="411"/>
      <c r="N28" s="411"/>
      <c r="O28" s="411"/>
      <c r="P28" s="38">
        <f t="shared" si="2"/>
        <v>0</v>
      </c>
      <c r="Q28" s="428">
        <f t="shared" si="3"/>
        <v>45.55</v>
      </c>
      <c r="R28" s="430"/>
    </row>
    <row r="29" spans="1:19" ht="35.1" customHeight="1" x14ac:dyDescent="0.25">
      <c r="A29" s="433" t="s">
        <v>331</v>
      </c>
      <c r="B29" s="434" t="s">
        <v>503</v>
      </c>
      <c r="C29" s="61" t="s">
        <v>17</v>
      </c>
      <c r="D29" s="238" t="s">
        <v>18</v>
      </c>
      <c r="E29" s="201" t="s">
        <v>315</v>
      </c>
      <c r="F29" s="256" t="s">
        <v>467</v>
      </c>
      <c r="G29" s="256" t="s">
        <v>296</v>
      </c>
      <c r="H29" s="37">
        <v>13.7</v>
      </c>
      <c r="I29" s="37"/>
      <c r="J29" s="37"/>
      <c r="K29" s="37"/>
      <c r="L29" s="37"/>
      <c r="M29" s="37"/>
      <c r="N29" s="37"/>
      <c r="O29" s="37"/>
      <c r="P29" s="38">
        <f t="shared" si="2"/>
        <v>0</v>
      </c>
      <c r="Q29" s="428">
        <f t="shared" si="3"/>
        <v>13.7</v>
      </c>
      <c r="R29" s="435"/>
    </row>
    <row r="30" spans="1:19" ht="35.1" customHeight="1" x14ac:dyDescent="0.25">
      <c r="A30" s="436"/>
      <c r="B30" s="437"/>
      <c r="C30" s="63"/>
      <c r="D30" s="238" t="s">
        <v>18</v>
      </c>
      <c r="E30" s="438" t="s">
        <v>315</v>
      </c>
      <c r="F30" s="256" t="s">
        <v>467</v>
      </c>
      <c r="G30" s="256" t="s">
        <v>266</v>
      </c>
      <c r="H30" s="37"/>
      <c r="I30" s="37">
        <v>13.7</v>
      </c>
      <c r="J30" s="37"/>
      <c r="K30" s="37"/>
      <c r="L30" s="37"/>
      <c r="M30" s="37"/>
      <c r="N30" s="37"/>
      <c r="O30" s="37"/>
      <c r="P30" s="38">
        <f t="shared" si="2"/>
        <v>0</v>
      </c>
      <c r="Q30" s="428">
        <f t="shared" si="3"/>
        <v>13.7</v>
      </c>
      <c r="R30" s="439"/>
    </row>
    <row r="31" spans="1:19" ht="35.1" customHeight="1" x14ac:dyDescent="0.25">
      <c r="A31" s="436"/>
      <c r="B31" s="437"/>
      <c r="C31" s="63"/>
      <c r="D31" s="238" t="s">
        <v>18</v>
      </c>
      <c r="E31" s="201" t="s">
        <v>315</v>
      </c>
      <c r="F31" s="256" t="s">
        <v>504</v>
      </c>
      <c r="G31" s="256" t="s">
        <v>505</v>
      </c>
      <c r="H31" s="37"/>
      <c r="I31" s="37"/>
      <c r="J31" s="37"/>
      <c r="K31" s="35">
        <v>83</v>
      </c>
      <c r="L31" s="35"/>
      <c r="M31" s="35"/>
      <c r="N31" s="35"/>
      <c r="O31" s="35"/>
      <c r="P31" s="38">
        <f t="shared" si="2"/>
        <v>0</v>
      </c>
      <c r="Q31" s="428">
        <f t="shared" si="3"/>
        <v>83</v>
      </c>
      <c r="R31" s="439"/>
    </row>
    <row r="32" spans="1:19" ht="35.1" customHeight="1" x14ac:dyDescent="0.25">
      <c r="A32" s="436"/>
      <c r="B32" s="437"/>
      <c r="C32" s="63"/>
      <c r="D32" s="238" t="s">
        <v>18</v>
      </c>
      <c r="E32" s="438" t="s">
        <v>315</v>
      </c>
      <c r="F32" s="256" t="s">
        <v>504</v>
      </c>
      <c r="G32" s="256" t="s">
        <v>266</v>
      </c>
      <c r="H32" s="37"/>
      <c r="I32" s="37"/>
      <c r="J32" s="37"/>
      <c r="K32" s="35">
        <v>371.8</v>
      </c>
      <c r="L32" s="35"/>
      <c r="M32" s="35"/>
      <c r="N32" s="35"/>
      <c r="O32" s="35"/>
      <c r="P32" s="38">
        <f t="shared" si="2"/>
        <v>0</v>
      </c>
      <c r="Q32" s="428">
        <f t="shared" si="3"/>
        <v>371.8</v>
      </c>
      <c r="R32" s="439"/>
    </row>
    <row r="33" spans="1:18" ht="35.1" customHeight="1" x14ac:dyDescent="0.25">
      <c r="A33" s="440"/>
      <c r="B33" s="441"/>
      <c r="C33" s="196"/>
      <c r="D33" s="238" t="s">
        <v>18</v>
      </c>
      <c r="E33" s="201" t="s">
        <v>315</v>
      </c>
      <c r="F33" s="256" t="s">
        <v>506</v>
      </c>
      <c r="G33" s="256" t="s">
        <v>268</v>
      </c>
      <c r="H33" s="37"/>
      <c r="I33" s="37"/>
      <c r="J33" s="37"/>
      <c r="K33" s="35">
        <v>31.2</v>
      </c>
      <c r="L33" s="35"/>
      <c r="M33" s="35"/>
      <c r="N33" s="35"/>
      <c r="O33" s="35"/>
      <c r="P33" s="38">
        <f t="shared" si="2"/>
        <v>0</v>
      </c>
      <c r="Q33" s="428">
        <f t="shared" si="3"/>
        <v>31.2</v>
      </c>
      <c r="R33" s="442"/>
    </row>
    <row r="34" spans="1:18" s="133" customFormat="1" ht="35.1" customHeight="1" x14ac:dyDescent="0.25">
      <c r="A34" s="443" t="s">
        <v>417</v>
      </c>
      <c r="B34" s="443"/>
      <c r="C34" s="444"/>
      <c r="D34" s="444"/>
      <c r="E34" s="444"/>
      <c r="F34" s="444"/>
      <c r="G34" s="444"/>
      <c r="H34" s="24">
        <f>H25+H26+H27+H28+H29+H30</f>
        <v>61.7</v>
      </c>
      <c r="I34" s="24">
        <f>I25+I26+I27+I28+I29+I30</f>
        <v>61.7</v>
      </c>
      <c r="J34" s="24">
        <f>J25+J26+J27+J28+J29+J30</f>
        <v>0</v>
      </c>
      <c r="K34" s="24">
        <f>SUM(K26:K33)</f>
        <v>486</v>
      </c>
      <c r="L34" s="24">
        <f>SUM(L26:L33)</f>
        <v>0</v>
      </c>
      <c r="M34" s="24">
        <f>SUM(M26:M33)</f>
        <v>0</v>
      </c>
      <c r="N34" s="24">
        <f>SUM(N26:N33)</f>
        <v>0</v>
      </c>
      <c r="O34" s="24"/>
      <c r="P34" s="38">
        <f t="shared" si="2"/>
        <v>0</v>
      </c>
      <c r="Q34" s="428">
        <f t="shared" si="3"/>
        <v>609.4</v>
      </c>
      <c r="R34" s="35"/>
    </row>
    <row r="35" spans="1:18" ht="35.1" customHeight="1" x14ac:dyDescent="0.25">
      <c r="A35" s="331" t="s">
        <v>319</v>
      </c>
      <c r="B35" s="331"/>
      <c r="C35" s="279"/>
      <c r="D35" s="279"/>
      <c r="E35" s="279"/>
      <c r="F35" s="279"/>
      <c r="G35" s="279"/>
      <c r="H35" s="24">
        <f t="shared" ref="H35:M35" si="4">H23+H34</f>
        <v>6990.7000000000007</v>
      </c>
      <c r="I35" s="24">
        <f t="shared" si="4"/>
        <v>7764.9</v>
      </c>
      <c r="J35" s="24">
        <f t="shared" si="4"/>
        <v>7414.4000000000005</v>
      </c>
      <c r="K35" s="24">
        <f>K23+K34</f>
        <v>8058.3</v>
      </c>
      <c r="L35" s="24">
        <f t="shared" si="4"/>
        <v>7980.7999999999993</v>
      </c>
      <c r="M35" s="24">
        <f t="shared" si="4"/>
        <v>8572.2999999999993</v>
      </c>
      <c r="N35" s="24">
        <f>N23+N34</f>
        <v>8572.2999999999993</v>
      </c>
      <c r="O35" s="24">
        <f>O23+O34</f>
        <v>8572.2999999999993</v>
      </c>
      <c r="P35" s="101">
        <f t="shared" si="2"/>
        <v>8572.2999999999993</v>
      </c>
      <c r="Q35" s="428">
        <f t="shared" si="3"/>
        <v>72498.3</v>
      </c>
      <c r="R35" s="38"/>
    </row>
    <row r="36" spans="1:18" ht="35.1" customHeight="1" x14ac:dyDescent="0.25">
      <c r="A36" s="275" t="s">
        <v>320</v>
      </c>
      <c r="B36" s="276"/>
      <c r="C36" s="279"/>
      <c r="D36" s="279"/>
      <c r="E36" s="279"/>
      <c r="F36" s="279"/>
      <c r="G36" s="279"/>
      <c r="H36" s="24">
        <f>H14+H15+H20</f>
        <v>4599.6000000000004</v>
      </c>
      <c r="I36" s="24">
        <f>I14+I15+I20</f>
        <v>4788.3999999999996</v>
      </c>
      <c r="J36" s="24">
        <f>J14+J15+J20</f>
        <v>4560.6000000000004</v>
      </c>
      <c r="K36" s="24">
        <f>K14+K15+K20</f>
        <v>4565.7</v>
      </c>
      <c r="L36" s="24">
        <f>L14+L15+L20+L19</f>
        <v>5116.3999999999996</v>
      </c>
      <c r="M36" s="24">
        <f>M14+M15+M20+M19</f>
        <v>5436.9</v>
      </c>
      <c r="N36" s="24">
        <f>N14+N15+N20+N19</f>
        <v>5436.9</v>
      </c>
      <c r="O36" s="24">
        <f>O14+O15+O20+O19</f>
        <v>5436.9</v>
      </c>
      <c r="P36" s="101">
        <f t="shared" si="2"/>
        <v>5436.9</v>
      </c>
      <c r="Q36" s="428">
        <f t="shared" si="3"/>
        <v>45378.3</v>
      </c>
      <c r="R36" s="38"/>
    </row>
    <row r="37" spans="1:18" ht="35.1" customHeight="1" x14ac:dyDescent="0.25">
      <c r="A37" s="275" t="s">
        <v>321</v>
      </c>
      <c r="B37" s="276"/>
      <c r="C37" s="279"/>
      <c r="D37" s="279"/>
      <c r="E37" s="279"/>
      <c r="F37" s="279"/>
      <c r="G37" s="279"/>
      <c r="H37" s="24">
        <f>H9+H10+H11+H12+H13+H16+H17+H21+H25+H26+H27+H28+H29+H30+H31+H32+H33</f>
        <v>1858.1</v>
      </c>
      <c r="I37" s="24">
        <f>I9+I10+I11+I12+I13+I16+I17+I21+I25+I26+I27+I28+I29+I30+I31+I32+I33</f>
        <v>2271.2999999999997</v>
      </c>
      <c r="J37" s="24">
        <f>J9+J10+J11+J12+J13+J16+J17+J21+J25+J26+J27+J28+J29+J30+J31+J32+J33</f>
        <v>2162.4</v>
      </c>
      <c r="K37" s="24">
        <f>K9+K10+K11+K12+K13+K16+K17+K21+K26+K27+K28+K29+K30+K31+K32+K33+K25</f>
        <v>2801.2</v>
      </c>
      <c r="L37" s="24">
        <f>L9+L10+L11+L12+L13+L16+L17+L21+L26+L27+L28+L29+L30+L31+L32+L33+L25</f>
        <v>2173</v>
      </c>
      <c r="M37" s="24">
        <f>M9+M10+M11+M12+M13+M16+M17+M21+M26+M27+M28+M29+M30+M31+M32+M33+M25</f>
        <v>2354.1999999999998</v>
      </c>
      <c r="N37" s="24">
        <f>N9+N10+N11+N12+N13+N16+N17+N21+N26+N27+N28+N29+N30+N31+N32+N33+N25</f>
        <v>2354.1999999999998</v>
      </c>
      <c r="O37" s="24">
        <f>O9+O10+O11+O12+O13+O16+O17+O21+O26+O27+O28+O29+O30+O31+O32+O33+O25</f>
        <v>2354.1999999999998</v>
      </c>
      <c r="P37" s="101">
        <f t="shared" si="2"/>
        <v>2354.1999999999998</v>
      </c>
      <c r="Q37" s="428">
        <f t="shared" si="3"/>
        <v>20682.800000000003</v>
      </c>
      <c r="R37" s="38"/>
    </row>
    <row r="38" spans="1:18" ht="35.1" customHeight="1" x14ac:dyDescent="0.25">
      <c r="A38" s="275" t="s">
        <v>322</v>
      </c>
      <c r="B38" s="276"/>
      <c r="C38" s="279"/>
      <c r="D38" s="279"/>
      <c r="E38" s="279"/>
      <c r="F38" s="279"/>
      <c r="G38" s="279"/>
      <c r="H38" s="24">
        <f t="shared" ref="H38:M38" si="5">H18</f>
        <v>533</v>
      </c>
      <c r="I38" s="24">
        <f t="shared" si="5"/>
        <v>705.2</v>
      </c>
      <c r="J38" s="24">
        <f t="shared" si="5"/>
        <v>691.4</v>
      </c>
      <c r="K38" s="24">
        <f t="shared" si="5"/>
        <v>691.4</v>
      </c>
      <c r="L38" s="24">
        <f t="shared" si="5"/>
        <v>691.4</v>
      </c>
      <c r="M38" s="24">
        <f t="shared" si="5"/>
        <v>781.19999999999993</v>
      </c>
      <c r="N38" s="24">
        <f>N18</f>
        <v>781.19999999999993</v>
      </c>
      <c r="O38" s="24">
        <f>O18</f>
        <v>781.19999999999993</v>
      </c>
      <c r="P38" s="101">
        <f t="shared" si="2"/>
        <v>781.19999999999993</v>
      </c>
      <c r="Q38" s="428">
        <f t="shared" si="3"/>
        <v>6437.2</v>
      </c>
      <c r="R38" s="38"/>
    </row>
    <row r="39" spans="1:18" s="449" customFormat="1" ht="35.1" customHeight="1" x14ac:dyDescent="0.25">
      <c r="A39" s="445"/>
      <c r="B39" s="445"/>
      <c r="C39" s="446"/>
      <c r="D39" s="446"/>
      <c r="E39" s="446"/>
      <c r="F39" s="446"/>
      <c r="G39" s="446"/>
      <c r="H39" s="446"/>
      <c r="I39" s="447"/>
      <c r="J39" s="447"/>
      <c r="K39" s="448"/>
      <c r="L39" s="448"/>
      <c r="M39" s="448"/>
      <c r="N39" s="448"/>
      <c r="O39" s="448"/>
      <c r="P39" s="448"/>
      <c r="Q39" s="448"/>
    </row>
    <row r="40" spans="1:18" ht="35.1" customHeight="1" x14ac:dyDescent="0.3">
      <c r="A40" s="450" t="s">
        <v>33</v>
      </c>
      <c r="B40" s="450"/>
      <c r="C40" s="450"/>
      <c r="D40" s="451"/>
      <c r="E40" s="451"/>
      <c r="F40" s="451"/>
      <c r="G40" s="451"/>
      <c r="H40" s="451"/>
      <c r="I40" s="452"/>
      <c r="J40" s="308"/>
      <c r="K40" s="308"/>
      <c r="L40" s="308"/>
      <c r="M40" s="308"/>
      <c r="N40" s="308"/>
      <c r="O40" s="308"/>
      <c r="P40" s="308"/>
      <c r="Q40" s="308"/>
      <c r="R40" s="453" t="s">
        <v>34</v>
      </c>
    </row>
    <row r="41" spans="1:18" x14ac:dyDescent="0.25">
      <c r="A41" s="290"/>
      <c r="B41" s="291"/>
      <c r="C41" s="292"/>
      <c r="D41" s="292"/>
      <c r="E41" s="292"/>
      <c r="F41" s="292"/>
      <c r="G41" s="292"/>
      <c r="H41" s="292"/>
    </row>
    <row r="42" spans="1:18" x14ac:dyDescent="0.25">
      <c r="A42" s="290"/>
      <c r="B42" s="291"/>
      <c r="C42" s="292"/>
      <c r="D42" s="292"/>
      <c r="E42" s="292"/>
      <c r="F42" s="292"/>
      <c r="G42" s="292"/>
      <c r="H42" s="292"/>
    </row>
    <row r="43" spans="1:18" x14ac:dyDescent="0.25">
      <c r="A43" s="290"/>
      <c r="B43" s="291"/>
      <c r="C43" s="292"/>
      <c r="D43" s="292"/>
      <c r="E43" s="292"/>
      <c r="F43" s="292"/>
      <c r="G43" s="292"/>
      <c r="H43" s="292"/>
    </row>
    <row r="44" spans="1:18" x14ac:dyDescent="0.25">
      <c r="A44" s="290"/>
      <c r="B44" s="291"/>
      <c r="C44" s="292"/>
      <c r="D44" s="292"/>
      <c r="E44" s="292"/>
      <c r="F44" s="292"/>
      <c r="G44" s="292"/>
      <c r="H44" s="292"/>
    </row>
    <row r="45" spans="1:18" x14ac:dyDescent="0.25">
      <c r="A45" s="290"/>
      <c r="B45" s="291"/>
      <c r="C45" s="292"/>
      <c r="D45" s="292"/>
      <c r="E45" s="292"/>
      <c r="F45" s="292"/>
      <c r="G45" s="292"/>
      <c r="H45" s="292"/>
    </row>
    <row r="46" spans="1:18" x14ac:dyDescent="0.25">
      <c r="A46" s="290"/>
      <c r="B46" s="291"/>
      <c r="C46" s="292"/>
      <c r="D46" s="292"/>
      <c r="E46" s="292"/>
      <c r="F46" s="292"/>
      <c r="G46" s="292"/>
      <c r="H46" s="292"/>
    </row>
    <row r="47" spans="1:18" x14ac:dyDescent="0.25">
      <c r="A47" s="290"/>
      <c r="B47" s="291"/>
      <c r="C47" s="292"/>
      <c r="D47" s="292"/>
      <c r="E47" s="292"/>
      <c r="F47" s="292"/>
      <c r="G47" s="292"/>
      <c r="H47" s="292"/>
    </row>
    <row r="48" spans="1:18" x14ac:dyDescent="0.25">
      <c r="A48" s="290"/>
      <c r="B48" s="291"/>
      <c r="C48" s="292"/>
      <c r="D48" s="292"/>
      <c r="E48" s="292"/>
      <c r="F48" s="292"/>
      <c r="G48" s="292"/>
      <c r="H48" s="292"/>
    </row>
    <row r="49" spans="1:8" x14ac:dyDescent="0.25">
      <c r="A49" s="290"/>
      <c r="B49" s="291"/>
      <c r="C49" s="292"/>
      <c r="D49" s="292"/>
      <c r="E49" s="292"/>
      <c r="F49" s="292"/>
      <c r="G49" s="292"/>
      <c r="H49" s="292"/>
    </row>
    <row r="50" spans="1:8" x14ac:dyDescent="0.25">
      <c r="A50" s="290"/>
      <c r="B50" s="291"/>
      <c r="C50" s="292"/>
      <c r="D50" s="292"/>
      <c r="E50" s="292"/>
      <c r="F50" s="292"/>
      <c r="G50" s="292"/>
      <c r="H50" s="292"/>
    </row>
    <row r="51" spans="1:8" x14ac:dyDescent="0.25">
      <c r="A51" s="290"/>
      <c r="B51" s="291"/>
      <c r="C51" s="292"/>
      <c r="D51" s="292"/>
      <c r="E51" s="292"/>
      <c r="F51" s="292"/>
      <c r="G51" s="292"/>
      <c r="H51" s="292"/>
    </row>
    <row r="52" spans="1:8" x14ac:dyDescent="0.25">
      <c r="A52" s="290"/>
      <c r="B52" s="291"/>
      <c r="C52" s="292"/>
      <c r="D52" s="292"/>
      <c r="E52" s="292"/>
      <c r="F52" s="292"/>
      <c r="G52" s="292"/>
      <c r="H52" s="292"/>
    </row>
    <row r="53" spans="1:8" x14ac:dyDescent="0.25">
      <c r="A53" s="290"/>
      <c r="B53" s="291"/>
      <c r="C53" s="292"/>
      <c r="D53" s="292"/>
      <c r="E53" s="292"/>
      <c r="F53" s="292"/>
      <c r="G53" s="292"/>
      <c r="H53" s="292"/>
    </row>
    <row r="54" spans="1:8" x14ac:dyDescent="0.25">
      <c r="A54" s="290"/>
      <c r="B54" s="291"/>
      <c r="C54" s="292"/>
      <c r="D54" s="292"/>
      <c r="E54" s="292"/>
      <c r="F54" s="292"/>
      <c r="G54" s="292"/>
      <c r="H54" s="292"/>
    </row>
    <row r="55" spans="1:8" x14ac:dyDescent="0.25">
      <c r="A55" s="290"/>
      <c r="B55" s="291"/>
      <c r="C55" s="292"/>
      <c r="D55" s="292"/>
      <c r="E55" s="292"/>
      <c r="F55" s="292"/>
      <c r="G55" s="292"/>
      <c r="H55" s="292"/>
    </row>
    <row r="56" spans="1:8" x14ac:dyDescent="0.25">
      <c r="A56" s="290"/>
      <c r="B56" s="291"/>
      <c r="C56" s="292"/>
      <c r="D56" s="292"/>
      <c r="E56" s="292"/>
      <c r="F56" s="292"/>
      <c r="G56" s="292"/>
      <c r="H56" s="292"/>
    </row>
    <row r="57" spans="1:8" x14ac:dyDescent="0.25">
      <c r="A57" s="290"/>
      <c r="B57" s="291"/>
      <c r="C57" s="292"/>
      <c r="D57" s="292"/>
      <c r="E57" s="292"/>
      <c r="F57" s="292"/>
      <c r="G57" s="292"/>
      <c r="H57" s="292"/>
    </row>
    <row r="58" spans="1:8" x14ac:dyDescent="0.25">
      <c r="A58" s="290"/>
      <c r="B58" s="291"/>
      <c r="C58" s="292"/>
      <c r="D58" s="292"/>
      <c r="E58" s="292"/>
      <c r="F58" s="292"/>
      <c r="G58" s="292"/>
      <c r="H58" s="292"/>
    </row>
    <row r="59" spans="1:8" x14ac:dyDescent="0.25">
      <c r="A59" s="290"/>
      <c r="B59" s="291"/>
      <c r="C59" s="292"/>
      <c r="D59" s="292"/>
      <c r="E59" s="292"/>
      <c r="F59" s="292"/>
      <c r="G59" s="292"/>
      <c r="H59" s="292"/>
    </row>
    <row r="60" spans="1:8" x14ac:dyDescent="0.25">
      <c r="A60" s="290"/>
      <c r="B60" s="291"/>
      <c r="C60" s="292"/>
      <c r="D60" s="292"/>
      <c r="E60" s="292"/>
      <c r="F60" s="292"/>
      <c r="G60" s="292"/>
      <c r="H60" s="292"/>
    </row>
    <row r="61" spans="1:8" x14ac:dyDescent="0.25">
      <c r="A61" s="290"/>
      <c r="B61" s="291"/>
      <c r="C61" s="292"/>
      <c r="D61" s="292"/>
      <c r="E61" s="292"/>
      <c r="F61" s="292"/>
      <c r="G61" s="292"/>
      <c r="H61" s="292"/>
    </row>
    <row r="62" spans="1:8" x14ac:dyDescent="0.25">
      <c r="A62" s="290"/>
      <c r="B62" s="291"/>
      <c r="C62" s="292"/>
      <c r="D62" s="292"/>
      <c r="E62" s="292"/>
      <c r="F62" s="292"/>
      <c r="G62" s="292"/>
      <c r="H62" s="292"/>
    </row>
    <row r="63" spans="1:8" x14ac:dyDescent="0.25">
      <c r="A63" s="290"/>
      <c r="B63" s="291"/>
      <c r="C63" s="292"/>
      <c r="D63" s="292"/>
      <c r="E63" s="292"/>
      <c r="F63" s="292"/>
      <c r="G63" s="292"/>
      <c r="H63" s="292"/>
    </row>
    <row r="64" spans="1:8" x14ac:dyDescent="0.25">
      <c r="A64" s="290"/>
      <c r="B64" s="291"/>
      <c r="C64" s="292"/>
      <c r="D64" s="292"/>
      <c r="E64" s="292"/>
      <c r="F64" s="292"/>
      <c r="G64" s="292"/>
      <c r="H64" s="292"/>
    </row>
    <row r="65" spans="1:8" x14ac:dyDescent="0.25">
      <c r="A65" s="290"/>
      <c r="B65" s="291"/>
      <c r="C65" s="292"/>
      <c r="D65" s="292"/>
      <c r="E65" s="292"/>
      <c r="F65" s="292"/>
      <c r="G65" s="292"/>
      <c r="H65" s="292"/>
    </row>
    <row r="66" spans="1:8" x14ac:dyDescent="0.25">
      <c r="A66" s="290"/>
      <c r="B66" s="291"/>
      <c r="C66" s="292"/>
      <c r="D66" s="292"/>
      <c r="E66" s="292"/>
      <c r="F66" s="292"/>
      <c r="G66" s="292"/>
      <c r="H66" s="292"/>
    </row>
    <row r="67" spans="1:8" x14ac:dyDescent="0.25">
      <c r="A67" s="290"/>
      <c r="B67" s="291"/>
      <c r="C67" s="292"/>
      <c r="D67" s="292"/>
      <c r="E67" s="292"/>
      <c r="F67" s="292"/>
      <c r="G67" s="292"/>
      <c r="H67" s="292"/>
    </row>
    <row r="68" spans="1:8" x14ac:dyDescent="0.25">
      <c r="A68" s="290"/>
      <c r="B68" s="291"/>
      <c r="C68" s="292"/>
      <c r="D68" s="292"/>
      <c r="E68" s="292"/>
      <c r="F68" s="292"/>
      <c r="G68" s="292"/>
      <c r="H68" s="292"/>
    </row>
    <row r="69" spans="1:8" x14ac:dyDescent="0.25">
      <c r="A69" s="290"/>
      <c r="B69" s="291"/>
      <c r="C69" s="292"/>
      <c r="D69" s="292"/>
      <c r="E69" s="292"/>
      <c r="F69" s="292"/>
      <c r="G69" s="292"/>
      <c r="H69" s="292"/>
    </row>
    <row r="70" spans="1:8" x14ac:dyDescent="0.25">
      <c r="A70" s="290"/>
      <c r="B70" s="291"/>
      <c r="C70" s="292"/>
      <c r="D70" s="292"/>
      <c r="E70" s="292"/>
      <c r="F70" s="292"/>
      <c r="G70" s="292"/>
      <c r="H70" s="292"/>
    </row>
    <row r="71" spans="1:8" x14ac:dyDescent="0.25">
      <c r="A71" s="290"/>
      <c r="B71" s="291"/>
      <c r="C71" s="292"/>
      <c r="D71" s="292"/>
      <c r="E71" s="292"/>
      <c r="F71" s="292"/>
      <c r="G71" s="292"/>
      <c r="H71" s="292"/>
    </row>
    <row r="72" spans="1:8" x14ac:dyDescent="0.25">
      <c r="A72" s="290"/>
      <c r="B72" s="291"/>
      <c r="C72" s="292"/>
      <c r="D72" s="292"/>
      <c r="E72" s="292"/>
      <c r="F72" s="292"/>
      <c r="G72" s="292"/>
      <c r="H72" s="292"/>
    </row>
    <row r="73" spans="1:8" x14ac:dyDescent="0.25">
      <c r="A73" s="290"/>
      <c r="B73" s="291"/>
      <c r="C73" s="292"/>
      <c r="D73" s="292"/>
      <c r="E73" s="292"/>
      <c r="F73" s="292"/>
      <c r="G73" s="292"/>
      <c r="H73" s="292"/>
    </row>
    <row r="74" spans="1:8" x14ac:dyDescent="0.25">
      <c r="A74" s="290"/>
      <c r="B74" s="291"/>
      <c r="C74" s="292"/>
      <c r="D74" s="292"/>
      <c r="E74" s="292"/>
      <c r="F74" s="292"/>
      <c r="G74" s="292"/>
      <c r="H74" s="292"/>
    </row>
    <row r="75" spans="1:8" x14ac:dyDescent="0.25">
      <c r="A75" s="290"/>
      <c r="B75" s="291"/>
      <c r="C75" s="292"/>
      <c r="D75" s="292"/>
      <c r="E75" s="292"/>
      <c r="F75" s="292"/>
      <c r="G75" s="292"/>
      <c r="H75" s="292"/>
    </row>
    <row r="76" spans="1:8" x14ac:dyDescent="0.25">
      <c r="A76" s="290"/>
      <c r="B76" s="291"/>
      <c r="C76" s="292"/>
      <c r="D76" s="292"/>
      <c r="E76" s="292"/>
      <c r="F76" s="292"/>
      <c r="G76" s="292"/>
      <c r="H76" s="292"/>
    </row>
    <row r="77" spans="1:8" x14ac:dyDescent="0.25">
      <c r="A77" s="290"/>
      <c r="B77" s="291"/>
      <c r="C77" s="292"/>
      <c r="D77" s="292"/>
      <c r="E77" s="292"/>
      <c r="F77" s="292"/>
      <c r="G77" s="292"/>
      <c r="H77" s="292"/>
    </row>
  </sheetData>
  <autoFilter ref="A4:S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R27:R28"/>
    <mergeCell ref="A29:A33"/>
    <mergeCell ref="B29:B33"/>
    <mergeCell ref="C29:C33"/>
    <mergeCell ref="R29:R33"/>
    <mergeCell ref="A23:B23"/>
    <mergeCell ref="A24:R24"/>
    <mergeCell ref="A25:A26"/>
    <mergeCell ref="B25:B26"/>
    <mergeCell ref="C25:C26"/>
    <mergeCell ref="R25:R26"/>
    <mergeCell ref="A12:A13"/>
    <mergeCell ref="B12:B13"/>
    <mergeCell ref="C12:C13"/>
    <mergeCell ref="R12:R13"/>
    <mergeCell ref="A14:A18"/>
    <mergeCell ref="B14:B15"/>
    <mergeCell ref="C14:C18"/>
    <mergeCell ref="R14:R18"/>
    <mergeCell ref="B16:B17"/>
    <mergeCell ref="A5:R5"/>
    <mergeCell ref="A7:R7"/>
    <mergeCell ref="A8:A10"/>
    <mergeCell ref="B8:B10"/>
    <mergeCell ref="C8:C10"/>
    <mergeCell ref="R9:R10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47" fitToHeight="8" orientation="landscape" r:id="rId1"/>
  <headerFooter differentFirst="1">
    <oddHeader>&amp;C&amp;P</oddHeader>
  </headerFooter>
  <rowBreaks count="2" manualBreakCount="2">
    <brk id="8" max="11" man="1"/>
    <brk id="19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7" activePane="bottomRight" state="frozen"/>
      <selection activeCell="Q12" sqref="Q12"/>
      <selection pane="topRight" activeCell="Q12" sqref="Q12"/>
      <selection pane="bottomLeft" activeCell="Q12" sqref="Q12"/>
      <selection pane="bottomRight" activeCell="F3" sqref="F3:F5"/>
    </sheetView>
  </sheetViews>
  <sheetFormatPr defaultRowHeight="15.75" x14ac:dyDescent="0.25"/>
  <cols>
    <col min="1" max="1" width="7.5703125" style="161" customWidth="1"/>
    <col min="2" max="2" width="79.140625" style="54" customWidth="1"/>
    <col min="3" max="3" width="12" style="54" customWidth="1"/>
    <col min="4" max="4" width="24.42578125" style="54" customWidth="1"/>
    <col min="5" max="11" width="10.7109375" style="54" customWidth="1"/>
    <col min="12" max="12" width="10.7109375" style="111" customWidth="1"/>
    <col min="13" max="13" width="9.140625" style="454"/>
    <col min="14" max="16384" width="9.140625" style="54"/>
  </cols>
  <sheetData>
    <row r="1" spans="1:13" ht="50.25" customHeight="1" x14ac:dyDescent="0.25">
      <c r="A1" s="107"/>
      <c r="B1" s="108"/>
      <c r="C1" s="109"/>
      <c r="D1" s="108"/>
      <c r="E1" s="110" t="s">
        <v>507</v>
      </c>
      <c r="F1" s="110"/>
      <c r="G1" s="110"/>
      <c r="H1" s="110"/>
      <c r="I1" s="110"/>
      <c r="J1" s="110"/>
      <c r="K1" s="110"/>
    </row>
    <row r="2" spans="1:13" ht="37.5" customHeight="1" x14ac:dyDescent="0.25">
      <c r="A2" s="185" t="s">
        <v>245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3" ht="25.5" customHeight="1" x14ac:dyDescent="0.25">
      <c r="A3" s="113" t="s">
        <v>88</v>
      </c>
      <c r="B3" s="114" t="s">
        <v>246</v>
      </c>
      <c r="C3" s="114" t="s">
        <v>90</v>
      </c>
      <c r="D3" s="114" t="s">
        <v>92</v>
      </c>
      <c r="E3" s="51" t="s">
        <v>41</v>
      </c>
      <c r="F3" s="51" t="s">
        <v>42</v>
      </c>
      <c r="G3" s="51" t="s">
        <v>43</v>
      </c>
      <c r="H3" s="51" t="s">
        <v>44</v>
      </c>
      <c r="I3" s="51" t="s">
        <v>45</v>
      </c>
      <c r="J3" s="51" t="s">
        <v>46</v>
      </c>
      <c r="K3" s="51" t="s">
        <v>47</v>
      </c>
      <c r="L3" s="51" t="s">
        <v>48</v>
      </c>
      <c r="M3" s="51" t="s">
        <v>49</v>
      </c>
    </row>
    <row r="4" spans="1:13" ht="12" customHeight="1" x14ac:dyDescent="0.25">
      <c r="A4" s="113"/>
      <c r="B4" s="114"/>
      <c r="C4" s="114"/>
      <c r="D4" s="114"/>
      <c r="E4" s="51"/>
      <c r="F4" s="51"/>
      <c r="G4" s="51"/>
      <c r="H4" s="51"/>
      <c r="I4" s="51"/>
      <c r="J4" s="51"/>
      <c r="K4" s="51"/>
      <c r="L4" s="51"/>
      <c r="M4" s="51"/>
    </row>
    <row r="5" spans="1:13" ht="25.5" customHeight="1" x14ac:dyDescent="0.25">
      <c r="A5" s="113"/>
      <c r="B5" s="114"/>
      <c r="C5" s="114"/>
      <c r="D5" s="114"/>
      <c r="E5" s="51"/>
      <c r="F5" s="51"/>
      <c r="G5" s="51"/>
      <c r="H5" s="51"/>
      <c r="I5" s="51"/>
      <c r="J5" s="51"/>
      <c r="K5" s="51"/>
      <c r="L5" s="51"/>
      <c r="M5" s="51"/>
    </row>
    <row r="6" spans="1:13" ht="27" customHeight="1" x14ac:dyDescent="0.25">
      <c r="A6" s="455" t="s">
        <v>508</v>
      </c>
      <c r="B6" s="455"/>
      <c r="C6" s="455"/>
      <c r="D6" s="455"/>
      <c r="E6" s="455"/>
      <c r="F6" s="455"/>
      <c r="G6" s="455"/>
      <c r="H6" s="455"/>
      <c r="I6" s="455"/>
      <c r="J6" s="455"/>
      <c r="K6" s="455"/>
      <c r="L6" s="456"/>
    </row>
    <row r="7" spans="1:13" ht="33" customHeight="1" x14ac:dyDescent="0.25">
      <c r="A7" s="225" t="s">
        <v>509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456"/>
    </row>
    <row r="8" spans="1:13" ht="42" customHeight="1" x14ac:dyDescent="0.25">
      <c r="A8" s="116" t="s">
        <v>510</v>
      </c>
      <c r="B8" s="118" t="s">
        <v>181</v>
      </c>
      <c r="C8" s="116" t="s">
        <v>182</v>
      </c>
      <c r="D8" s="116" t="s">
        <v>21</v>
      </c>
      <c r="E8" s="12">
        <v>1460</v>
      </c>
      <c r="F8" s="457">
        <v>1470</v>
      </c>
      <c r="G8" s="116">
        <v>1470</v>
      </c>
      <c r="H8" s="116">
        <v>2863</v>
      </c>
      <c r="I8" s="116">
        <v>3174</v>
      </c>
      <c r="J8" s="116">
        <v>3205</v>
      </c>
      <c r="K8" s="116">
        <v>3205</v>
      </c>
      <c r="L8" s="116">
        <v>3205</v>
      </c>
      <c r="M8" s="116">
        <v>3205</v>
      </c>
    </row>
    <row r="9" spans="1:13" ht="31.5" x14ac:dyDescent="0.25">
      <c r="A9" s="116" t="s">
        <v>183</v>
      </c>
      <c r="B9" s="118" t="s">
        <v>184</v>
      </c>
      <c r="C9" s="116" t="s">
        <v>182</v>
      </c>
      <c r="D9" s="116" t="s">
        <v>21</v>
      </c>
      <c r="E9" s="12">
        <v>28870</v>
      </c>
      <c r="F9" s="457">
        <v>29600</v>
      </c>
      <c r="G9" s="116">
        <v>30690</v>
      </c>
      <c r="H9" s="116">
        <v>32180</v>
      </c>
      <c r="I9" s="116">
        <v>33390</v>
      </c>
      <c r="J9" s="116">
        <v>33390</v>
      </c>
      <c r="K9" s="116">
        <v>33390</v>
      </c>
      <c r="L9" s="116">
        <v>33390</v>
      </c>
      <c r="M9" s="116">
        <v>33390</v>
      </c>
    </row>
    <row r="10" spans="1:13" ht="63" x14ac:dyDescent="0.25">
      <c r="A10" s="116" t="s">
        <v>185</v>
      </c>
      <c r="B10" s="118" t="s">
        <v>186</v>
      </c>
      <c r="C10" s="116" t="s">
        <v>182</v>
      </c>
      <c r="D10" s="116" t="s">
        <v>21</v>
      </c>
      <c r="E10" s="12">
        <v>17972</v>
      </c>
      <c r="F10" s="457">
        <v>18638</v>
      </c>
      <c r="G10" s="116">
        <v>19328</v>
      </c>
      <c r="H10" s="116">
        <v>21911</v>
      </c>
      <c r="I10" s="116">
        <v>24405</v>
      </c>
      <c r="J10" s="116">
        <v>24405</v>
      </c>
      <c r="K10" s="116">
        <v>24405</v>
      </c>
      <c r="L10" s="116">
        <v>24405</v>
      </c>
      <c r="M10" s="116">
        <v>24405</v>
      </c>
    </row>
    <row r="11" spans="1:13" ht="31.5" x14ac:dyDescent="0.25">
      <c r="A11" s="116" t="s">
        <v>187</v>
      </c>
      <c r="B11" s="118" t="s">
        <v>188</v>
      </c>
      <c r="C11" s="116" t="s">
        <v>189</v>
      </c>
      <c r="D11" s="116" t="s">
        <v>101</v>
      </c>
      <c r="E11" s="12">
        <v>25.02</v>
      </c>
      <c r="F11" s="11">
        <v>25</v>
      </c>
      <c r="G11" s="116">
        <v>25</v>
      </c>
      <c r="H11" s="116">
        <v>23.9</v>
      </c>
      <c r="I11" s="116">
        <v>24</v>
      </c>
      <c r="J11" s="116">
        <v>24</v>
      </c>
      <c r="K11" s="116">
        <v>24</v>
      </c>
      <c r="L11" s="116">
        <v>24</v>
      </c>
      <c r="M11" s="116">
        <v>24</v>
      </c>
    </row>
    <row r="12" spans="1:13" ht="31.5" x14ac:dyDescent="0.25">
      <c r="A12" s="116" t="s">
        <v>190</v>
      </c>
      <c r="B12" s="118" t="s">
        <v>191</v>
      </c>
      <c r="C12" s="116" t="s">
        <v>189</v>
      </c>
      <c r="D12" s="116" t="s">
        <v>101</v>
      </c>
      <c r="E12" s="12">
        <v>18.82</v>
      </c>
      <c r="F12" s="11">
        <v>18.82</v>
      </c>
      <c r="G12" s="116">
        <v>18.8</v>
      </c>
      <c r="H12" s="116">
        <v>17</v>
      </c>
      <c r="I12" s="116">
        <v>17</v>
      </c>
      <c r="J12" s="116">
        <v>17</v>
      </c>
      <c r="K12" s="116">
        <v>17</v>
      </c>
      <c r="L12" s="116">
        <v>17</v>
      </c>
      <c r="M12" s="116">
        <v>17</v>
      </c>
    </row>
    <row r="13" spans="1:13" ht="78.75" x14ac:dyDescent="0.25">
      <c r="A13" s="116" t="s">
        <v>192</v>
      </c>
      <c r="B13" s="118" t="s">
        <v>193</v>
      </c>
      <c r="C13" s="116" t="s">
        <v>194</v>
      </c>
      <c r="D13" s="116" t="s">
        <v>101</v>
      </c>
      <c r="E13" s="12">
        <v>0.7</v>
      </c>
      <c r="F13" s="11">
        <v>0.7</v>
      </c>
      <c r="G13" s="116">
        <v>0.7</v>
      </c>
      <c r="H13" s="116">
        <v>0.7</v>
      </c>
      <c r="I13" s="116">
        <v>0.7</v>
      </c>
      <c r="J13" s="116">
        <v>0.7</v>
      </c>
      <c r="K13" s="116">
        <v>0.7</v>
      </c>
      <c r="L13" s="116">
        <v>0.7</v>
      </c>
      <c r="M13" s="116">
        <v>0.7</v>
      </c>
    </row>
    <row r="14" spans="1:13" ht="31.5" x14ac:dyDescent="0.25">
      <c r="A14" s="116" t="s">
        <v>195</v>
      </c>
      <c r="B14" s="118" t="s">
        <v>196</v>
      </c>
      <c r="C14" s="116" t="s">
        <v>131</v>
      </c>
      <c r="D14" s="116" t="s">
        <v>21</v>
      </c>
      <c r="E14" s="116">
        <v>18</v>
      </c>
      <c r="F14" s="116">
        <v>18</v>
      </c>
      <c r="G14" s="116">
        <v>18</v>
      </c>
      <c r="H14" s="116">
        <v>14</v>
      </c>
      <c r="I14" s="116">
        <v>14</v>
      </c>
      <c r="J14" s="116">
        <v>14</v>
      </c>
      <c r="K14" s="116">
        <v>14</v>
      </c>
      <c r="L14" s="116">
        <v>14</v>
      </c>
      <c r="M14" s="116">
        <v>14</v>
      </c>
    </row>
    <row r="15" spans="1:13" ht="68.25" customHeight="1" x14ac:dyDescent="0.25">
      <c r="A15" s="116" t="s">
        <v>197</v>
      </c>
      <c r="B15" s="118" t="s">
        <v>198</v>
      </c>
      <c r="C15" s="116" t="s">
        <v>199</v>
      </c>
      <c r="D15" s="116" t="s">
        <v>200</v>
      </c>
      <c r="E15" s="116">
        <v>5</v>
      </c>
      <c r="F15" s="116">
        <v>5</v>
      </c>
      <c r="G15" s="116">
        <v>5</v>
      </c>
      <c r="H15" s="116">
        <v>5</v>
      </c>
      <c r="I15" s="116">
        <v>5</v>
      </c>
      <c r="J15" s="116">
        <v>5</v>
      </c>
      <c r="K15" s="116">
        <v>5</v>
      </c>
      <c r="L15" s="116">
        <v>5</v>
      </c>
      <c r="M15" s="116">
        <v>5</v>
      </c>
    </row>
    <row r="16" spans="1:13" ht="72.75" customHeight="1" x14ac:dyDescent="0.25">
      <c r="A16" s="36" t="s">
        <v>201</v>
      </c>
      <c r="B16" s="458" t="s">
        <v>202</v>
      </c>
      <c r="C16" s="116" t="s">
        <v>199</v>
      </c>
      <c r="D16" s="116" t="s">
        <v>200</v>
      </c>
      <c r="E16" s="35">
        <v>5</v>
      </c>
      <c r="F16" s="35">
        <v>5</v>
      </c>
      <c r="G16" s="35">
        <v>5</v>
      </c>
      <c r="H16" s="35">
        <v>5</v>
      </c>
      <c r="I16" s="35">
        <v>5</v>
      </c>
      <c r="J16" s="35">
        <v>5</v>
      </c>
      <c r="K16" s="35">
        <v>5</v>
      </c>
      <c r="L16" s="35">
        <v>5</v>
      </c>
      <c r="M16" s="35">
        <v>5</v>
      </c>
    </row>
    <row r="17" spans="1:14" ht="157.5" x14ac:dyDescent="0.25">
      <c r="A17" s="36" t="s">
        <v>203</v>
      </c>
      <c r="B17" s="151" t="s">
        <v>511</v>
      </c>
      <c r="C17" s="116" t="s">
        <v>199</v>
      </c>
      <c r="D17" s="116" t="s">
        <v>200</v>
      </c>
      <c r="E17" s="35">
        <v>5</v>
      </c>
      <c r="F17" s="35">
        <v>5</v>
      </c>
      <c r="G17" s="35">
        <v>5</v>
      </c>
      <c r="H17" s="35">
        <v>5</v>
      </c>
      <c r="I17" s="35">
        <v>5</v>
      </c>
      <c r="J17" s="35">
        <v>5</v>
      </c>
      <c r="K17" s="35">
        <v>5</v>
      </c>
      <c r="L17" s="35">
        <v>5</v>
      </c>
      <c r="M17" s="35">
        <v>5</v>
      </c>
    </row>
    <row r="18" spans="1:14" ht="94.5" x14ac:dyDescent="0.25">
      <c r="A18" s="36" t="s">
        <v>512</v>
      </c>
      <c r="B18" s="151" t="s">
        <v>206</v>
      </c>
      <c r="C18" s="116" t="s">
        <v>199</v>
      </c>
      <c r="D18" s="116" t="s">
        <v>200</v>
      </c>
      <c r="E18" s="35">
        <v>5</v>
      </c>
      <c r="F18" s="35">
        <v>5</v>
      </c>
      <c r="G18" s="35">
        <v>5</v>
      </c>
      <c r="H18" s="35">
        <v>5</v>
      </c>
      <c r="I18" s="35">
        <v>5</v>
      </c>
      <c r="J18" s="35">
        <v>5</v>
      </c>
      <c r="K18" s="35">
        <v>5</v>
      </c>
      <c r="L18" s="35">
        <v>5</v>
      </c>
      <c r="M18" s="35">
        <v>5</v>
      </c>
    </row>
    <row r="19" spans="1:14" ht="63" x14ac:dyDescent="0.25">
      <c r="A19" s="36" t="s">
        <v>207</v>
      </c>
      <c r="B19" s="151" t="s">
        <v>208</v>
      </c>
      <c r="C19" s="116" t="s">
        <v>199</v>
      </c>
      <c r="D19" s="116" t="s">
        <v>513</v>
      </c>
      <c r="E19" s="35">
        <v>5</v>
      </c>
      <c r="F19" s="35">
        <v>5</v>
      </c>
      <c r="G19" s="35">
        <v>5</v>
      </c>
      <c r="H19" s="35">
        <v>5</v>
      </c>
      <c r="I19" s="35">
        <v>5</v>
      </c>
      <c r="J19" s="35">
        <v>5</v>
      </c>
      <c r="K19" s="35">
        <v>5</v>
      </c>
      <c r="L19" s="35">
        <v>5</v>
      </c>
      <c r="M19" s="35">
        <v>5</v>
      </c>
    </row>
    <row r="20" spans="1:14" ht="63" x14ac:dyDescent="0.25">
      <c r="A20" s="36" t="s">
        <v>209</v>
      </c>
      <c r="B20" s="151" t="s">
        <v>514</v>
      </c>
      <c r="C20" s="116" t="s">
        <v>199</v>
      </c>
      <c r="D20" s="116" t="s">
        <v>513</v>
      </c>
      <c r="E20" s="35">
        <v>5</v>
      </c>
      <c r="F20" s="35">
        <v>5</v>
      </c>
      <c r="G20" s="35">
        <v>5</v>
      </c>
      <c r="H20" s="35">
        <v>5</v>
      </c>
      <c r="I20" s="35">
        <v>5</v>
      </c>
      <c r="J20" s="35">
        <v>5</v>
      </c>
      <c r="K20" s="35">
        <v>5</v>
      </c>
      <c r="L20" s="35">
        <v>5</v>
      </c>
      <c r="M20" s="35">
        <v>5</v>
      </c>
    </row>
    <row r="21" spans="1:14" ht="63" x14ac:dyDescent="0.25">
      <c r="A21" s="36" t="s">
        <v>211</v>
      </c>
      <c r="B21" s="151" t="s">
        <v>212</v>
      </c>
      <c r="C21" s="116" t="s">
        <v>199</v>
      </c>
      <c r="D21" s="116" t="s">
        <v>200</v>
      </c>
      <c r="E21" s="35">
        <v>5</v>
      </c>
      <c r="F21" s="35">
        <v>5</v>
      </c>
      <c r="G21" s="35">
        <v>5</v>
      </c>
      <c r="H21" s="35">
        <v>5</v>
      </c>
      <c r="I21" s="35">
        <v>5</v>
      </c>
      <c r="J21" s="35">
        <v>5</v>
      </c>
      <c r="K21" s="35">
        <v>5</v>
      </c>
      <c r="L21" s="35">
        <v>5</v>
      </c>
      <c r="M21" s="35">
        <v>5</v>
      </c>
    </row>
    <row r="22" spans="1:14" ht="63" x14ac:dyDescent="0.25">
      <c r="A22" s="36" t="s">
        <v>515</v>
      </c>
      <c r="B22" s="458" t="s">
        <v>214</v>
      </c>
      <c r="C22" s="116" t="s">
        <v>199</v>
      </c>
      <c r="D22" s="116" t="s">
        <v>200</v>
      </c>
      <c r="E22" s="35">
        <v>5</v>
      </c>
      <c r="F22" s="35">
        <v>5</v>
      </c>
      <c r="G22" s="35">
        <v>5</v>
      </c>
      <c r="H22" s="35">
        <v>5</v>
      </c>
      <c r="I22" s="35">
        <v>5</v>
      </c>
      <c r="J22" s="35">
        <v>5</v>
      </c>
      <c r="K22" s="35">
        <v>5</v>
      </c>
      <c r="L22" s="35">
        <v>5</v>
      </c>
      <c r="M22" s="35">
        <v>5</v>
      </c>
    </row>
    <row r="23" spans="1:14" ht="63" x14ac:dyDescent="0.25">
      <c r="A23" s="36" t="s">
        <v>215</v>
      </c>
      <c r="B23" s="458" t="s">
        <v>216</v>
      </c>
      <c r="C23" s="116" t="s">
        <v>199</v>
      </c>
      <c r="D23" s="116" t="s">
        <v>200</v>
      </c>
      <c r="E23" s="35">
        <v>5</v>
      </c>
      <c r="F23" s="35">
        <v>5</v>
      </c>
      <c r="G23" s="35">
        <v>5</v>
      </c>
      <c r="H23" s="35">
        <v>5</v>
      </c>
      <c r="I23" s="35">
        <v>5</v>
      </c>
      <c r="J23" s="35">
        <v>5</v>
      </c>
      <c r="K23" s="35">
        <v>5</v>
      </c>
      <c r="L23" s="35">
        <v>5</v>
      </c>
      <c r="M23" s="35">
        <v>5</v>
      </c>
    </row>
    <row r="24" spans="1:14" ht="63" x14ac:dyDescent="0.25">
      <c r="A24" s="36" t="s">
        <v>217</v>
      </c>
      <c r="B24" s="458" t="s">
        <v>218</v>
      </c>
      <c r="C24" s="116" t="s">
        <v>199</v>
      </c>
      <c r="D24" s="116" t="s">
        <v>200</v>
      </c>
      <c r="E24" s="35">
        <v>5</v>
      </c>
      <c r="F24" s="35">
        <v>5</v>
      </c>
      <c r="G24" s="35">
        <v>5</v>
      </c>
      <c r="H24" s="35">
        <v>5</v>
      </c>
      <c r="I24" s="35">
        <v>5</v>
      </c>
      <c r="J24" s="35">
        <v>5</v>
      </c>
      <c r="K24" s="35">
        <v>5</v>
      </c>
      <c r="L24" s="35">
        <v>5</v>
      </c>
      <c r="M24" s="35">
        <v>5</v>
      </c>
    </row>
    <row r="25" spans="1:14" ht="63" x14ac:dyDescent="0.25">
      <c r="A25" s="36" t="s">
        <v>219</v>
      </c>
      <c r="B25" s="458" t="s">
        <v>220</v>
      </c>
      <c r="C25" s="116" t="s">
        <v>199</v>
      </c>
      <c r="D25" s="116" t="s">
        <v>200</v>
      </c>
      <c r="E25" s="35">
        <v>5</v>
      </c>
      <c r="F25" s="35">
        <v>5</v>
      </c>
      <c r="G25" s="35">
        <v>5</v>
      </c>
      <c r="H25" s="35">
        <v>5</v>
      </c>
      <c r="I25" s="35">
        <v>5</v>
      </c>
      <c r="J25" s="35">
        <v>5</v>
      </c>
      <c r="K25" s="35">
        <v>5</v>
      </c>
      <c r="L25" s="35">
        <v>5</v>
      </c>
      <c r="M25" s="35">
        <v>5</v>
      </c>
    </row>
    <row r="26" spans="1:14" ht="32.25" customHeight="1" x14ac:dyDescent="0.25">
      <c r="A26" s="225" t="s">
        <v>516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459"/>
      <c r="M26" s="460"/>
      <c r="N26" s="460"/>
    </row>
    <row r="27" spans="1:14" ht="47.25" x14ac:dyDescent="0.25">
      <c r="A27" s="461" t="s">
        <v>222</v>
      </c>
      <c r="B27" s="118" t="s">
        <v>517</v>
      </c>
      <c r="C27" s="116" t="s">
        <v>96</v>
      </c>
      <c r="D27" s="116" t="s">
        <v>101</v>
      </c>
      <c r="E27" s="12">
        <v>70</v>
      </c>
      <c r="F27" s="12">
        <v>71</v>
      </c>
      <c r="G27" s="116">
        <v>71</v>
      </c>
      <c r="H27" s="116">
        <v>71</v>
      </c>
      <c r="I27" s="116">
        <v>71</v>
      </c>
      <c r="J27" s="116">
        <v>71</v>
      </c>
      <c r="K27" s="116">
        <v>71</v>
      </c>
      <c r="L27" s="116">
        <v>71</v>
      </c>
      <c r="M27" s="116">
        <v>71</v>
      </c>
    </row>
    <row r="28" spans="1:14" ht="94.5" x14ac:dyDescent="0.25">
      <c r="A28" s="116" t="s">
        <v>224</v>
      </c>
      <c r="B28" s="118" t="s">
        <v>225</v>
      </c>
      <c r="C28" s="116" t="s">
        <v>518</v>
      </c>
      <c r="D28" s="116" t="s">
        <v>101</v>
      </c>
      <c r="E28" s="116" t="s">
        <v>227</v>
      </c>
      <c r="F28" s="116" t="s">
        <v>228</v>
      </c>
      <c r="G28" s="116" t="s">
        <v>229</v>
      </c>
      <c r="H28" s="116" t="s">
        <v>230</v>
      </c>
      <c r="I28" s="116" t="s">
        <v>231</v>
      </c>
      <c r="J28" s="116" t="s">
        <v>232</v>
      </c>
      <c r="K28" s="116" t="s">
        <v>233</v>
      </c>
      <c r="L28" s="116" t="s">
        <v>233</v>
      </c>
      <c r="M28" s="116" t="s">
        <v>233</v>
      </c>
    </row>
    <row r="29" spans="1:14" ht="45" customHeight="1" x14ac:dyDescent="0.3">
      <c r="A29" s="54"/>
      <c r="B29" s="308" t="s">
        <v>33</v>
      </c>
      <c r="C29" s="308"/>
      <c r="D29" s="308"/>
      <c r="E29" s="308"/>
      <c r="F29" s="308"/>
      <c r="G29" s="462" t="s">
        <v>255</v>
      </c>
      <c r="H29" s="462"/>
      <c r="I29" s="294"/>
      <c r="J29" s="294"/>
    </row>
    <row r="30" spans="1:14" ht="68.25" customHeight="1" x14ac:dyDescent="0.25">
      <c r="A30" s="54"/>
    </row>
    <row r="31" spans="1:14" ht="129.75" customHeight="1" x14ac:dyDescent="0.25">
      <c r="A31" s="54"/>
    </row>
    <row r="32" spans="1:14" ht="98.25" customHeight="1" x14ac:dyDescent="0.25">
      <c r="A32" s="54"/>
    </row>
    <row r="33" spans="1:1" ht="70.5" customHeight="1" x14ac:dyDescent="0.25">
      <c r="A33" s="54"/>
    </row>
    <row r="34" spans="1:1" ht="66.75" customHeight="1" x14ac:dyDescent="0.25">
      <c r="A34" s="54"/>
    </row>
    <row r="35" spans="1:1" ht="53.25" customHeight="1" x14ac:dyDescent="0.25">
      <c r="A35" s="54"/>
    </row>
    <row r="36" spans="1:1" x14ac:dyDescent="0.25">
      <c r="A36" s="54"/>
    </row>
    <row r="37" spans="1:1" x14ac:dyDescent="0.25">
      <c r="A37" s="54"/>
    </row>
  </sheetData>
  <mergeCells count="19">
    <mergeCell ref="A7:K7"/>
    <mergeCell ref="A26:K26"/>
    <mergeCell ref="G29:H29"/>
    <mergeCell ref="I3:I5"/>
    <mergeCell ref="J3:J5"/>
    <mergeCell ref="K3:K5"/>
    <mergeCell ref="L3:L5"/>
    <mergeCell ref="M3:M5"/>
    <mergeCell ref="A6:K6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6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R90"/>
  <sheetViews>
    <sheetView view="pageBreakPreview" topLeftCell="C1" zoomScale="75" zoomScaleNormal="75" zoomScaleSheetLayoutView="75" workbookViewId="0">
      <selection activeCell="I11" sqref="I11"/>
    </sheetView>
  </sheetViews>
  <sheetFormatPr defaultColWidth="9.28515625" defaultRowHeight="15.75" x14ac:dyDescent="0.25"/>
  <cols>
    <col min="1" max="1" width="8.42578125" style="293" customWidth="1"/>
    <col min="2" max="2" width="42.28515625" style="54" customWidth="1"/>
    <col min="3" max="3" width="21.5703125" style="294" customWidth="1"/>
    <col min="4" max="4" width="13" style="294" customWidth="1"/>
    <col min="5" max="5" width="13.7109375" style="294" customWidth="1"/>
    <col min="6" max="6" width="17.28515625" style="294" customWidth="1"/>
    <col min="7" max="7" width="13" style="294" customWidth="1"/>
    <col min="8" max="8" width="14.7109375" style="294" customWidth="1"/>
    <col min="9" max="10" width="14.7109375" style="54" customWidth="1"/>
    <col min="11" max="11" width="14.7109375" style="133" customWidth="1"/>
    <col min="12" max="12" width="14.7109375" style="54" customWidth="1"/>
    <col min="13" max="13" width="21.7109375" style="54" customWidth="1"/>
    <col min="14" max="17" width="14.7109375" style="54" customWidth="1"/>
    <col min="18" max="18" width="74.140625" style="54" customWidth="1"/>
    <col min="19" max="16384" width="9.28515625" style="54"/>
  </cols>
  <sheetData>
    <row r="1" spans="1:18" s="179" customFormat="1" ht="71.25" customHeight="1" x14ac:dyDescent="0.25">
      <c r="A1" s="218"/>
      <c r="B1" s="219"/>
      <c r="C1" s="220"/>
      <c r="D1" s="220"/>
      <c r="E1" s="220"/>
      <c r="F1" s="220"/>
      <c r="G1" s="220"/>
      <c r="H1" s="220"/>
      <c r="I1" s="221"/>
      <c r="J1" s="221"/>
      <c r="K1" s="463"/>
      <c r="O1" s="464"/>
      <c r="Q1" s="465" t="s">
        <v>519</v>
      </c>
      <c r="R1" s="465"/>
    </row>
    <row r="2" spans="1:18" s="179" customFormat="1" ht="36" customHeight="1" x14ac:dyDescent="0.25">
      <c r="A2" s="224" t="s">
        <v>257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1:18" s="179" customFormat="1" ht="32.25" customHeight="1" x14ac:dyDescent="0.25">
      <c r="A3" s="51" t="s">
        <v>88</v>
      </c>
      <c r="B3" s="51" t="s">
        <v>258</v>
      </c>
      <c r="C3" s="51" t="s">
        <v>7</v>
      </c>
      <c r="D3" s="51" t="s">
        <v>5</v>
      </c>
      <c r="E3" s="51"/>
      <c r="F3" s="51"/>
      <c r="G3" s="51"/>
      <c r="H3" s="398" t="s">
        <v>6</v>
      </c>
      <c r="I3" s="399"/>
      <c r="J3" s="399"/>
      <c r="K3" s="399"/>
      <c r="L3" s="399"/>
      <c r="M3" s="399"/>
      <c r="N3" s="399"/>
      <c r="O3" s="399"/>
      <c r="P3" s="399"/>
      <c r="Q3" s="400"/>
      <c r="R3" s="51" t="s">
        <v>520</v>
      </c>
    </row>
    <row r="4" spans="1:18" s="179" customFormat="1" ht="37.5" customHeight="1" x14ac:dyDescent="0.25">
      <c r="A4" s="51"/>
      <c r="B4" s="51"/>
      <c r="C4" s="51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1"/>
    </row>
    <row r="5" spans="1:18" ht="27" customHeight="1" x14ac:dyDescent="0.25">
      <c r="A5" s="34" t="s">
        <v>508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27" customHeight="1" x14ac:dyDescent="0.25">
      <c r="A6" s="466" t="s">
        <v>521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8"/>
    </row>
    <row r="7" spans="1:18" ht="45" customHeight="1" x14ac:dyDescent="0.25">
      <c r="A7" s="226" t="s">
        <v>180</v>
      </c>
      <c r="B7" s="41" t="s">
        <v>522</v>
      </c>
      <c r="C7" s="41" t="s">
        <v>261</v>
      </c>
      <c r="D7" s="228" t="s">
        <v>18</v>
      </c>
      <c r="E7" s="228" t="s">
        <v>402</v>
      </c>
      <c r="F7" s="228" t="s">
        <v>523</v>
      </c>
      <c r="G7" s="35">
        <v>120</v>
      </c>
      <c r="H7" s="469">
        <v>1257.5999999999999</v>
      </c>
      <c r="I7" s="469">
        <v>1420.8</v>
      </c>
      <c r="J7" s="469">
        <v>1452.9</v>
      </c>
      <c r="K7" s="469">
        <v>1366.4</v>
      </c>
      <c r="L7" s="469">
        <v>1552.5</v>
      </c>
      <c r="M7" s="469">
        <v>1792.7</v>
      </c>
      <c r="N7" s="469">
        <v>1792.1</v>
      </c>
      <c r="O7" s="469">
        <v>1792.1</v>
      </c>
      <c r="P7" s="469">
        <f>O7</f>
        <v>1792.1</v>
      </c>
      <c r="Q7" s="469">
        <f>SUM(H7:P7)</f>
        <v>14219.2</v>
      </c>
      <c r="R7" s="42" t="s">
        <v>524</v>
      </c>
    </row>
    <row r="8" spans="1:18" ht="45" customHeight="1" x14ac:dyDescent="0.25">
      <c r="A8" s="231"/>
      <c r="B8" s="43"/>
      <c r="C8" s="43"/>
      <c r="D8" s="35">
        <v>975</v>
      </c>
      <c r="E8" s="228" t="s">
        <v>402</v>
      </c>
      <c r="F8" s="228" t="s">
        <v>523</v>
      </c>
      <c r="G8" s="35" t="s">
        <v>525</v>
      </c>
      <c r="H8" s="469">
        <v>318.60000000000002</v>
      </c>
      <c r="I8" s="469">
        <v>600.70000000000005</v>
      </c>
      <c r="J8" s="469">
        <v>513.5</v>
      </c>
      <c r="K8" s="469">
        <f>411.1+0.5</f>
        <v>411.6</v>
      </c>
      <c r="L8" s="469">
        <v>298.89999999999998</v>
      </c>
      <c r="M8" s="469">
        <v>317.5</v>
      </c>
      <c r="N8" s="469">
        <v>194.5</v>
      </c>
      <c r="O8" s="469">
        <v>194.5</v>
      </c>
      <c r="P8" s="469">
        <f t="shared" ref="P8:P40" si="0">O8</f>
        <v>194.5</v>
      </c>
      <c r="Q8" s="469">
        <f t="shared" ref="Q8:Q40" si="1">SUM(H8:P8)</f>
        <v>3044.3</v>
      </c>
      <c r="R8" s="44"/>
    </row>
    <row r="9" spans="1:18" ht="24.95" customHeight="1" x14ac:dyDescent="0.25">
      <c r="A9" s="231"/>
      <c r="B9" s="43"/>
      <c r="C9" s="43"/>
      <c r="D9" s="419" t="s">
        <v>18</v>
      </c>
      <c r="E9" s="228" t="s">
        <v>402</v>
      </c>
      <c r="F9" s="228" t="s">
        <v>526</v>
      </c>
      <c r="G9" s="35">
        <v>120</v>
      </c>
      <c r="H9" s="469">
        <v>330.4</v>
      </c>
      <c r="I9" s="469">
        <v>342.6</v>
      </c>
      <c r="J9" s="469">
        <v>342.6</v>
      </c>
      <c r="K9" s="469">
        <v>335.6</v>
      </c>
      <c r="L9" s="469">
        <v>343.5</v>
      </c>
      <c r="M9" s="469">
        <v>360.3</v>
      </c>
      <c r="N9" s="469">
        <v>350.3</v>
      </c>
      <c r="O9" s="469">
        <v>350.3</v>
      </c>
      <c r="P9" s="469">
        <f t="shared" si="0"/>
        <v>350.3</v>
      </c>
      <c r="Q9" s="469">
        <f t="shared" si="1"/>
        <v>3105.9000000000005</v>
      </c>
      <c r="R9" s="470"/>
    </row>
    <row r="10" spans="1:18" ht="24.95" customHeight="1" x14ac:dyDescent="0.25">
      <c r="A10" s="231"/>
      <c r="B10" s="43"/>
      <c r="C10" s="43"/>
      <c r="D10" s="419" t="s">
        <v>18</v>
      </c>
      <c r="E10" s="228" t="s">
        <v>402</v>
      </c>
      <c r="F10" s="228" t="s">
        <v>527</v>
      </c>
      <c r="G10" s="35">
        <v>120</v>
      </c>
      <c r="H10" s="469"/>
      <c r="I10" s="469"/>
      <c r="J10" s="469"/>
      <c r="K10" s="469"/>
      <c r="L10" s="469"/>
      <c r="M10" s="469">
        <v>36.4</v>
      </c>
      <c r="N10" s="469"/>
      <c r="O10" s="469"/>
      <c r="P10" s="469">
        <f t="shared" si="0"/>
        <v>0</v>
      </c>
      <c r="Q10" s="469">
        <f t="shared" si="1"/>
        <v>36.4</v>
      </c>
      <c r="R10" s="470"/>
    </row>
    <row r="11" spans="1:18" ht="24.95" customHeight="1" x14ac:dyDescent="0.25">
      <c r="A11" s="231"/>
      <c r="B11" s="43"/>
      <c r="C11" s="43"/>
      <c r="D11" s="419" t="s">
        <v>18</v>
      </c>
      <c r="E11" s="228" t="s">
        <v>402</v>
      </c>
      <c r="F11" s="228" t="s">
        <v>528</v>
      </c>
      <c r="G11" s="35">
        <v>120</v>
      </c>
      <c r="H11" s="469"/>
      <c r="I11" s="469"/>
      <c r="J11" s="469"/>
      <c r="K11" s="469"/>
      <c r="L11" s="469">
        <v>96.2</v>
      </c>
      <c r="M11" s="469"/>
      <c r="N11" s="469"/>
      <c r="O11" s="469"/>
      <c r="P11" s="469">
        <f t="shared" si="0"/>
        <v>0</v>
      </c>
      <c r="Q11" s="469">
        <f t="shared" si="1"/>
        <v>96.2</v>
      </c>
      <c r="R11" s="470"/>
    </row>
    <row r="12" spans="1:18" ht="41.45" customHeight="1" x14ac:dyDescent="0.25">
      <c r="A12" s="231"/>
      <c r="B12" s="43"/>
      <c r="C12" s="43"/>
      <c r="D12" s="35">
        <v>975</v>
      </c>
      <c r="E12" s="228" t="s">
        <v>402</v>
      </c>
      <c r="F12" s="228" t="s">
        <v>529</v>
      </c>
      <c r="G12" s="35">
        <v>120</v>
      </c>
      <c r="H12" s="469"/>
      <c r="I12" s="469"/>
      <c r="J12" s="469"/>
      <c r="K12" s="469"/>
      <c r="L12" s="469">
        <v>12.8</v>
      </c>
      <c r="M12" s="469">
        <v>3.8</v>
      </c>
      <c r="N12" s="469"/>
      <c r="O12" s="469"/>
      <c r="P12" s="469">
        <f t="shared" si="0"/>
        <v>0</v>
      </c>
      <c r="Q12" s="469">
        <f t="shared" si="1"/>
        <v>16.600000000000001</v>
      </c>
      <c r="R12" s="470"/>
    </row>
    <row r="13" spans="1:18" ht="46.9" customHeight="1" x14ac:dyDescent="0.25">
      <c r="A13" s="235"/>
      <c r="B13" s="76"/>
      <c r="C13" s="76"/>
      <c r="D13" s="35">
        <v>975</v>
      </c>
      <c r="E13" s="228" t="s">
        <v>402</v>
      </c>
      <c r="F13" s="228" t="s">
        <v>530</v>
      </c>
      <c r="G13" s="35">
        <v>120</v>
      </c>
      <c r="H13" s="469"/>
      <c r="I13" s="469"/>
      <c r="J13" s="469"/>
      <c r="K13" s="469"/>
      <c r="L13" s="469">
        <v>55.9</v>
      </c>
      <c r="M13" s="469">
        <v>18.100000000000001</v>
      </c>
      <c r="N13" s="469"/>
      <c r="O13" s="469"/>
      <c r="P13" s="469">
        <f t="shared" si="0"/>
        <v>0</v>
      </c>
      <c r="Q13" s="469">
        <f t="shared" si="1"/>
        <v>74</v>
      </c>
      <c r="R13" s="470"/>
    </row>
    <row r="14" spans="1:18" ht="45" customHeight="1" x14ac:dyDescent="0.25">
      <c r="A14" s="413" t="s">
        <v>531</v>
      </c>
      <c r="B14" s="418" t="s">
        <v>532</v>
      </c>
      <c r="C14" s="31" t="s">
        <v>533</v>
      </c>
      <c r="D14" s="228" t="s">
        <v>18</v>
      </c>
      <c r="E14" s="228" t="s">
        <v>402</v>
      </c>
      <c r="F14" s="228" t="s">
        <v>534</v>
      </c>
      <c r="G14" s="35">
        <v>110</v>
      </c>
      <c r="H14" s="469">
        <v>623.6</v>
      </c>
      <c r="I14" s="469">
        <v>623.6</v>
      </c>
      <c r="J14" s="469">
        <v>623.6</v>
      </c>
      <c r="K14" s="469">
        <v>610</v>
      </c>
      <c r="L14" s="469">
        <f>623.6</f>
        <v>623.6</v>
      </c>
      <c r="M14" s="469">
        <v>623.6</v>
      </c>
      <c r="N14" s="469">
        <v>623.6</v>
      </c>
      <c r="O14" s="469">
        <v>623.6</v>
      </c>
      <c r="P14" s="469">
        <f t="shared" si="0"/>
        <v>623.6</v>
      </c>
      <c r="Q14" s="469">
        <f t="shared" si="1"/>
        <v>5598.8000000000011</v>
      </c>
      <c r="R14" s="269" t="s">
        <v>535</v>
      </c>
    </row>
    <row r="15" spans="1:18" ht="24.95" customHeight="1" x14ac:dyDescent="0.25">
      <c r="A15" s="271" t="s">
        <v>536</v>
      </c>
      <c r="B15" s="51" t="s">
        <v>537</v>
      </c>
      <c r="C15" s="51" t="s">
        <v>538</v>
      </c>
      <c r="D15" s="228" t="s">
        <v>22</v>
      </c>
      <c r="E15" s="228" t="s">
        <v>402</v>
      </c>
      <c r="F15" s="228" t="s">
        <v>539</v>
      </c>
      <c r="G15" s="35">
        <v>110</v>
      </c>
      <c r="H15" s="471"/>
      <c r="I15" s="471"/>
      <c r="J15" s="471"/>
      <c r="K15" s="471"/>
      <c r="L15" s="471">
        <v>564.29999999999995</v>
      </c>
      <c r="M15" s="471"/>
      <c r="N15" s="471"/>
      <c r="O15" s="471"/>
      <c r="P15" s="469">
        <f t="shared" si="0"/>
        <v>0</v>
      </c>
      <c r="Q15" s="469">
        <f t="shared" si="1"/>
        <v>564.29999999999995</v>
      </c>
      <c r="R15" s="34" t="s">
        <v>540</v>
      </c>
    </row>
    <row r="16" spans="1:18" ht="24.95" customHeight="1" x14ac:dyDescent="0.25">
      <c r="A16" s="271"/>
      <c r="B16" s="51"/>
      <c r="C16" s="51"/>
      <c r="D16" s="228" t="s">
        <v>22</v>
      </c>
      <c r="E16" s="228" t="s">
        <v>402</v>
      </c>
      <c r="F16" s="228" t="s">
        <v>534</v>
      </c>
      <c r="G16" s="35">
        <v>110</v>
      </c>
      <c r="H16" s="471">
        <v>13131.6</v>
      </c>
      <c r="I16" s="471">
        <v>13815.5</v>
      </c>
      <c r="J16" s="471">
        <v>14161.8</v>
      </c>
      <c r="K16" s="471">
        <v>14410.6</v>
      </c>
      <c r="L16" s="471">
        <f>11061.4+19+3328.3</f>
        <v>14408.7</v>
      </c>
      <c r="M16" s="471">
        <v>15224.3</v>
      </c>
      <c r="N16" s="471">
        <v>14513.2</v>
      </c>
      <c r="O16" s="471">
        <v>14513.2</v>
      </c>
      <c r="P16" s="469">
        <f t="shared" si="0"/>
        <v>14513.2</v>
      </c>
      <c r="Q16" s="469">
        <f t="shared" si="1"/>
        <v>128692.09999999999</v>
      </c>
      <c r="R16" s="34"/>
    </row>
    <row r="17" spans="1:18" ht="24.95" customHeight="1" x14ac:dyDescent="0.25">
      <c r="A17" s="271"/>
      <c r="B17" s="51"/>
      <c r="C17" s="51"/>
      <c r="D17" s="228" t="s">
        <v>22</v>
      </c>
      <c r="E17" s="228" t="s">
        <v>402</v>
      </c>
      <c r="F17" s="228" t="s">
        <v>541</v>
      </c>
      <c r="G17" s="35">
        <v>110</v>
      </c>
      <c r="H17" s="471"/>
      <c r="I17" s="471">
        <v>9.6999999999999993</v>
      </c>
      <c r="J17" s="471">
        <v>10.9</v>
      </c>
      <c r="K17" s="471">
        <v>12.4</v>
      </c>
      <c r="L17" s="471">
        <v>52.5</v>
      </c>
      <c r="M17" s="471">
        <v>130.5</v>
      </c>
      <c r="N17" s="471">
        <v>31.5</v>
      </c>
      <c r="O17" s="471">
        <v>31.5</v>
      </c>
      <c r="P17" s="469">
        <f t="shared" si="0"/>
        <v>31.5</v>
      </c>
      <c r="Q17" s="469">
        <f t="shared" si="1"/>
        <v>310.5</v>
      </c>
      <c r="R17" s="34"/>
    </row>
    <row r="18" spans="1:18" ht="24.95" customHeight="1" x14ac:dyDescent="0.25">
      <c r="A18" s="271"/>
      <c r="B18" s="51"/>
      <c r="C18" s="51"/>
      <c r="D18" s="228" t="s">
        <v>22</v>
      </c>
      <c r="E18" s="228" t="s">
        <v>402</v>
      </c>
      <c r="F18" s="228" t="s">
        <v>542</v>
      </c>
      <c r="G18" s="35">
        <v>110</v>
      </c>
      <c r="H18" s="471"/>
      <c r="I18" s="471"/>
      <c r="J18" s="471"/>
      <c r="K18" s="471"/>
      <c r="L18" s="471"/>
      <c r="M18" s="471">
        <v>8.9</v>
      </c>
      <c r="N18" s="471"/>
      <c r="O18" s="471"/>
      <c r="P18" s="469"/>
      <c r="Q18" s="469">
        <f t="shared" si="1"/>
        <v>8.9</v>
      </c>
      <c r="R18" s="34"/>
    </row>
    <row r="19" spans="1:18" ht="24.95" customHeight="1" x14ac:dyDescent="0.25">
      <c r="A19" s="271"/>
      <c r="B19" s="51"/>
      <c r="C19" s="51"/>
      <c r="D19" s="228" t="s">
        <v>22</v>
      </c>
      <c r="E19" s="228" t="s">
        <v>402</v>
      </c>
      <c r="F19" s="228" t="s">
        <v>543</v>
      </c>
      <c r="G19" s="35">
        <v>110</v>
      </c>
      <c r="H19" s="471"/>
      <c r="I19" s="471"/>
      <c r="J19" s="471"/>
      <c r="K19" s="471"/>
      <c r="L19" s="471"/>
      <c r="M19" s="471">
        <v>137.6</v>
      </c>
      <c r="N19" s="471"/>
      <c r="O19" s="471"/>
      <c r="P19" s="469"/>
      <c r="Q19" s="469">
        <f t="shared" si="1"/>
        <v>137.6</v>
      </c>
      <c r="R19" s="34"/>
    </row>
    <row r="20" spans="1:18" ht="24.95" customHeight="1" x14ac:dyDescent="0.25">
      <c r="A20" s="271"/>
      <c r="B20" s="51"/>
      <c r="C20" s="51"/>
      <c r="D20" s="228" t="s">
        <v>22</v>
      </c>
      <c r="E20" s="228" t="s">
        <v>402</v>
      </c>
      <c r="F20" s="228" t="s">
        <v>534</v>
      </c>
      <c r="G20" s="35">
        <v>850</v>
      </c>
      <c r="H20" s="471">
        <v>0</v>
      </c>
      <c r="I20" s="471">
        <v>0</v>
      </c>
      <c r="J20" s="471">
        <v>0</v>
      </c>
      <c r="K20" s="471">
        <v>21.8</v>
      </c>
      <c r="L20" s="471">
        <v>0.01</v>
      </c>
      <c r="M20" s="471"/>
      <c r="N20" s="471"/>
      <c r="O20" s="471"/>
      <c r="P20" s="469">
        <f t="shared" si="0"/>
        <v>0</v>
      </c>
      <c r="Q20" s="469">
        <f t="shared" si="1"/>
        <v>21.810000000000002</v>
      </c>
      <c r="R20" s="34"/>
    </row>
    <row r="21" spans="1:18" ht="24.95" customHeight="1" x14ac:dyDescent="0.25">
      <c r="A21" s="271"/>
      <c r="B21" s="51"/>
      <c r="C21" s="51"/>
      <c r="D21" s="228" t="s">
        <v>22</v>
      </c>
      <c r="E21" s="228" t="s">
        <v>402</v>
      </c>
      <c r="F21" s="228" t="s">
        <v>534</v>
      </c>
      <c r="G21" s="35">
        <v>240</v>
      </c>
      <c r="H21" s="471">
        <v>1021.5</v>
      </c>
      <c r="I21" s="471">
        <v>1111.2</v>
      </c>
      <c r="J21" s="471">
        <v>1144</v>
      </c>
      <c r="K21" s="471">
        <v>927.7</v>
      </c>
      <c r="L21" s="471">
        <v>969.6</v>
      </c>
      <c r="M21" s="471">
        <v>1150.2</v>
      </c>
      <c r="N21" s="471">
        <v>608.9</v>
      </c>
      <c r="O21" s="471">
        <v>608.9</v>
      </c>
      <c r="P21" s="469">
        <f t="shared" si="0"/>
        <v>608.9</v>
      </c>
      <c r="Q21" s="469">
        <f t="shared" si="1"/>
        <v>8150.8999999999987</v>
      </c>
      <c r="R21" s="34"/>
    </row>
    <row r="22" spans="1:18" ht="24.95" customHeight="1" x14ac:dyDescent="0.25">
      <c r="A22" s="271" t="s">
        <v>544</v>
      </c>
      <c r="B22" s="34" t="s">
        <v>545</v>
      </c>
      <c r="C22" s="34" t="s">
        <v>546</v>
      </c>
      <c r="D22" s="228" t="s">
        <v>18</v>
      </c>
      <c r="E22" s="228" t="s">
        <v>402</v>
      </c>
      <c r="F22" s="228" t="s">
        <v>534</v>
      </c>
      <c r="G22" s="35">
        <v>110</v>
      </c>
      <c r="H22" s="471">
        <f>2965-H14</f>
        <v>2341.4</v>
      </c>
      <c r="I22" s="471">
        <f>3154-I14</f>
        <v>2530.4</v>
      </c>
      <c r="J22" s="471">
        <f>3155.8-J14</f>
        <v>2532.2000000000003</v>
      </c>
      <c r="K22" s="471">
        <f>4414.9-K14</f>
        <v>3804.8999999999996</v>
      </c>
      <c r="L22" s="471">
        <f>4501.5-L14</f>
        <v>3877.9</v>
      </c>
      <c r="M22" s="471">
        <f>4633.1-M14</f>
        <v>4009.5000000000005</v>
      </c>
      <c r="N22" s="471">
        <f>4489.2-N14</f>
        <v>3865.6</v>
      </c>
      <c r="O22" s="471">
        <f>4489.2-O14</f>
        <v>3865.6</v>
      </c>
      <c r="P22" s="469">
        <f t="shared" si="0"/>
        <v>3865.6</v>
      </c>
      <c r="Q22" s="469">
        <f t="shared" si="1"/>
        <v>30693.099999999995</v>
      </c>
      <c r="R22" s="34" t="s">
        <v>547</v>
      </c>
    </row>
    <row r="23" spans="1:18" ht="24.95" customHeight="1" x14ac:dyDescent="0.25">
      <c r="A23" s="271"/>
      <c r="B23" s="34"/>
      <c r="C23" s="34"/>
      <c r="D23" s="228" t="s">
        <v>18</v>
      </c>
      <c r="E23" s="228" t="s">
        <v>402</v>
      </c>
      <c r="F23" s="228" t="s">
        <v>534</v>
      </c>
      <c r="G23" s="35">
        <v>240</v>
      </c>
      <c r="H23" s="471">
        <v>452.8</v>
      </c>
      <c r="I23" s="471">
        <v>540.79999999999995</v>
      </c>
      <c r="J23" s="471">
        <v>696.6</v>
      </c>
      <c r="K23" s="471">
        <v>1035.5</v>
      </c>
      <c r="L23" s="471">
        <v>708.9</v>
      </c>
      <c r="M23" s="471">
        <f>374+50</f>
        <v>424</v>
      </c>
      <c r="N23" s="471">
        <v>338.2</v>
      </c>
      <c r="O23" s="471">
        <v>338.2</v>
      </c>
      <c r="P23" s="469">
        <f t="shared" si="0"/>
        <v>338.2</v>
      </c>
      <c r="Q23" s="469">
        <f t="shared" si="1"/>
        <v>4873.2</v>
      </c>
      <c r="R23" s="34"/>
    </row>
    <row r="24" spans="1:18" ht="24.95" customHeight="1" x14ac:dyDescent="0.25">
      <c r="A24" s="271"/>
      <c r="B24" s="34"/>
      <c r="C24" s="34"/>
      <c r="D24" s="228" t="s">
        <v>18</v>
      </c>
      <c r="E24" s="228" t="s">
        <v>402</v>
      </c>
      <c r="F24" s="228" t="s">
        <v>541</v>
      </c>
      <c r="G24" s="35">
        <v>110</v>
      </c>
      <c r="H24" s="471">
        <v>17.100000000000001</v>
      </c>
      <c r="I24" s="471">
        <v>29.8</v>
      </c>
      <c r="J24" s="471">
        <v>46.6</v>
      </c>
      <c r="K24" s="471">
        <v>58.6</v>
      </c>
      <c r="L24" s="471">
        <v>84.9</v>
      </c>
      <c r="M24" s="471">
        <v>136</v>
      </c>
      <c r="N24" s="471">
        <v>39.700000000000003</v>
      </c>
      <c r="O24" s="471">
        <v>39.700000000000003</v>
      </c>
      <c r="P24" s="469">
        <f t="shared" si="0"/>
        <v>39.700000000000003</v>
      </c>
      <c r="Q24" s="469">
        <f t="shared" si="1"/>
        <v>492.09999999999997</v>
      </c>
      <c r="R24" s="34"/>
    </row>
    <row r="25" spans="1:18" ht="24.95" customHeight="1" x14ac:dyDescent="0.25">
      <c r="A25" s="271"/>
      <c r="B25" s="34"/>
      <c r="C25" s="34"/>
      <c r="D25" s="228" t="s">
        <v>18</v>
      </c>
      <c r="E25" s="228" t="s">
        <v>402</v>
      </c>
      <c r="F25" s="228" t="s">
        <v>548</v>
      </c>
      <c r="G25" s="35">
        <v>110</v>
      </c>
      <c r="H25" s="471">
        <v>41.5</v>
      </c>
      <c r="I25" s="471">
        <v>4.4000000000000004</v>
      </c>
      <c r="J25" s="471"/>
      <c r="K25" s="471"/>
      <c r="L25" s="471"/>
      <c r="M25" s="471"/>
      <c r="N25" s="471"/>
      <c r="O25" s="471"/>
      <c r="P25" s="469">
        <f t="shared" si="0"/>
        <v>0</v>
      </c>
      <c r="Q25" s="469">
        <f t="shared" si="1"/>
        <v>45.9</v>
      </c>
      <c r="R25" s="34"/>
    </row>
    <row r="26" spans="1:18" ht="24.95" customHeight="1" x14ac:dyDescent="0.25">
      <c r="A26" s="271"/>
      <c r="B26" s="34"/>
      <c r="C26" s="34"/>
      <c r="D26" s="228" t="s">
        <v>18</v>
      </c>
      <c r="E26" s="228" t="s">
        <v>402</v>
      </c>
      <c r="F26" s="228" t="s">
        <v>543</v>
      </c>
      <c r="G26" s="35">
        <v>110</v>
      </c>
      <c r="H26" s="471">
        <v>0.6</v>
      </c>
      <c r="I26" s="471"/>
      <c r="J26" s="471"/>
      <c r="K26" s="471"/>
      <c r="L26" s="471"/>
      <c r="M26" s="471">
        <v>52.2</v>
      </c>
      <c r="N26" s="471"/>
      <c r="O26" s="471"/>
      <c r="P26" s="469">
        <f t="shared" si="0"/>
        <v>0</v>
      </c>
      <c r="Q26" s="469">
        <f t="shared" si="1"/>
        <v>52.800000000000004</v>
      </c>
      <c r="R26" s="34"/>
    </row>
    <row r="27" spans="1:18" ht="24.95" customHeight="1" x14ac:dyDescent="0.25">
      <c r="A27" s="271"/>
      <c r="B27" s="34"/>
      <c r="C27" s="34"/>
      <c r="D27" s="228" t="s">
        <v>18</v>
      </c>
      <c r="E27" s="228" t="s">
        <v>402</v>
      </c>
      <c r="F27" s="228" t="s">
        <v>542</v>
      </c>
      <c r="G27" s="35">
        <v>110</v>
      </c>
      <c r="H27" s="471"/>
      <c r="I27" s="471"/>
      <c r="J27" s="471"/>
      <c r="K27" s="471"/>
      <c r="L27" s="471"/>
      <c r="M27" s="471">
        <v>1.3</v>
      </c>
      <c r="N27" s="471"/>
      <c r="O27" s="471"/>
      <c r="P27" s="469"/>
      <c r="Q27" s="469">
        <f t="shared" si="1"/>
        <v>1.3</v>
      </c>
      <c r="R27" s="34"/>
    </row>
    <row r="28" spans="1:18" ht="24.6" customHeight="1" x14ac:dyDescent="0.25">
      <c r="A28" s="271"/>
      <c r="B28" s="34"/>
      <c r="C28" s="34"/>
      <c r="D28" s="228" t="s">
        <v>18</v>
      </c>
      <c r="E28" s="228" t="s">
        <v>402</v>
      </c>
      <c r="F28" s="228" t="s">
        <v>534</v>
      </c>
      <c r="G28" s="35">
        <v>350</v>
      </c>
      <c r="H28" s="471"/>
      <c r="I28" s="471"/>
      <c r="J28" s="471">
        <v>178.1</v>
      </c>
      <c r="K28" s="471">
        <v>228.1</v>
      </c>
      <c r="L28" s="471">
        <v>209.8</v>
      </c>
      <c r="M28" s="471">
        <v>280</v>
      </c>
      <c r="N28" s="471"/>
      <c r="O28" s="471"/>
      <c r="P28" s="469">
        <f t="shared" si="0"/>
        <v>0</v>
      </c>
      <c r="Q28" s="469">
        <f t="shared" si="1"/>
        <v>896</v>
      </c>
      <c r="R28" s="34"/>
    </row>
    <row r="29" spans="1:18" ht="24.95" customHeight="1" x14ac:dyDescent="0.25">
      <c r="A29" s="271"/>
      <c r="B29" s="34"/>
      <c r="C29" s="34"/>
      <c r="D29" s="228" t="s">
        <v>18</v>
      </c>
      <c r="E29" s="228" t="s">
        <v>402</v>
      </c>
      <c r="F29" s="228" t="s">
        <v>534</v>
      </c>
      <c r="G29" s="35">
        <v>360</v>
      </c>
      <c r="H29" s="471"/>
      <c r="I29" s="471"/>
      <c r="J29" s="471">
        <v>102</v>
      </c>
      <c r="K29" s="471">
        <v>70</v>
      </c>
      <c r="L29" s="471">
        <v>100</v>
      </c>
      <c r="M29" s="471"/>
      <c r="N29" s="471"/>
      <c r="O29" s="471"/>
      <c r="P29" s="469">
        <f t="shared" si="0"/>
        <v>0</v>
      </c>
      <c r="Q29" s="469">
        <f t="shared" si="1"/>
        <v>272</v>
      </c>
      <c r="R29" s="34"/>
    </row>
    <row r="30" spans="1:18" ht="24.95" customHeight="1" x14ac:dyDescent="0.25">
      <c r="A30" s="271"/>
      <c r="B30" s="34"/>
      <c r="C30" s="34"/>
      <c r="D30" s="228" t="s">
        <v>18</v>
      </c>
      <c r="E30" s="228" t="s">
        <v>402</v>
      </c>
      <c r="F30" s="228" t="s">
        <v>534</v>
      </c>
      <c r="G30" s="35">
        <v>850</v>
      </c>
      <c r="H30" s="471"/>
      <c r="I30" s="471"/>
      <c r="J30" s="471"/>
      <c r="K30" s="471">
        <v>10.1</v>
      </c>
      <c r="L30" s="471"/>
      <c r="M30" s="471">
        <v>0.1</v>
      </c>
      <c r="N30" s="471"/>
      <c r="O30" s="471"/>
      <c r="P30" s="469">
        <f t="shared" si="0"/>
        <v>0</v>
      </c>
      <c r="Q30" s="469">
        <f t="shared" si="1"/>
        <v>10.199999999999999</v>
      </c>
      <c r="R30" s="34"/>
    </row>
    <row r="31" spans="1:18" ht="42.6" customHeight="1" x14ac:dyDescent="0.25">
      <c r="A31" s="271"/>
      <c r="B31" s="34"/>
      <c r="C31" s="34"/>
      <c r="D31" s="228" t="s">
        <v>18</v>
      </c>
      <c r="E31" s="228" t="s">
        <v>402</v>
      </c>
      <c r="F31" s="228" t="s">
        <v>539</v>
      </c>
      <c r="G31" s="35">
        <v>110</v>
      </c>
      <c r="H31" s="471"/>
      <c r="I31" s="471"/>
      <c r="J31" s="471"/>
      <c r="K31" s="471"/>
      <c r="L31" s="471">
        <v>164.2</v>
      </c>
      <c r="M31" s="471"/>
      <c r="N31" s="471"/>
      <c r="O31" s="471"/>
      <c r="P31" s="469">
        <f t="shared" si="0"/>
        <v>0</v>
      </c>
      <c r="Q31" s="469">
        <f t="shared" si="1"/>
        <v>164.2</v>
      </c>
      <c r="R31" s="34"/>
    </row>
    <row r="32" spans="1:18" ht="24.95" customHeight="1" x14ac:dyDescent="0.25">
      <c r="A32" s="271"/>
      <c r="B32" s="34"/>
      <c r="C32" s="34"/>
      <c r="D32" s="228" t="s">
        <v>18</v>
      </c>
      <c r="E32" s="228" t="s">
        <v>402</v>
      </c>
      <c r="F32" s="228" t="s">
        <v>549</v>
      </c>
      <c r="G32" s="35">
        <v>110</v>
      </c>
      <c r="H32" s="471">
        <v>0</v>
      </c>
      <c r="I32" s="471">
        <v>0</v>
      </c>
      <c r="J32" s="471">
        <v>0</v>
      </c>
      <c r="K32" s="471">
        <v>210.1</v>
      </c>
      <c r="L32" s="471"/>
      <c r="M32" s="471">
        <v>0</v>
      </c>
      <c r="N32" s="471">
        <v>0</v>
      </c>
      <c r="O32" s="471">
        <v>0</v>
      </c>
      <c r="P32" s="469">
        <f t="shared" si="0"/>
        <v>0</v>
      </c>
      <c r="Q32" s="469">
        <f t="shared" si="1"/>
        <v>210.1</v>
      </c>
      <c r="R32" s="34"/>
    </row>
    <row r="33" spans="1:18" ht="48.6" customHeight="1" x14ac:dyDescent="0.25">
      <c r="A33" s="258" t="s">
        <v>550</v>
      </c>
      <c r="B33" s="41" t="s">
        <v>551</v>
      </c>
      <c r="C33" s="41" t="s">
        <v>552</v>
      </c>
      <c r="D33" s="228" t="s">
        <v>18</v>
      </c>
      <c r="E33" s="228" t="s">
        <v>402</v>
      </c>
      <c r="F33" s="228" t="s">
        <v>534</v>
      </c>
      <c r="G33" s="35">
        <v>110</v>
      </c>
      <c r="H33" s="471"/>
      <c r="I33" s="471"/>
      <c r="J33" s="471"/>
      <c r="K33" s="471"/>
      <c r="L33" s="471"/>
      <c r="M33" s="471">
        <v>2933.4</v>
      </c>
      <c r="N33" s="471">
        <f>8018+2421.5</f>
        <v>10439.5</v>
      </c>
      <c r="O33" s="471">
        <f>N33</f>
        <v>10439.5</v>
      </c>
      <c r="P33" s="469">
        <f t="shared" si="0"/>
        <v>10439.5</v>
      </c>
      <c r="Q33" s="469">
        <f t="shared" si="1"/>
        <v>34251.9</v>
      </c>
      <c r="R33" s="34"/>
    </row>
    <row r="34" spans="1:18" ht="48.6" customHeight="1" x14ac:dyDescent="0.25">
      <c r="A34" s="472"/>
      <c r="B34" s="43"/>
      <c r="C34" s="43"/>
      <c r="D34" s="228" t="s">
        <v>18</v>
      </c>
      <c r="E34" s="228" t="s">
        <v>402</v>
      </c>
      <c r="F34" s="228" t="s">
        <v>542</v>
      </c>
      <c r="G34" s="35">
        <v>110</v>
      </c>
      <c r="H34" s="471"/>
      <c r="I34" s="471"/>
      <c r="J34" s="471"/>
      <c r="K34" s="471"/>
      <c r="L34" s="471"/>
      <c r="M34" s="471">
        <v>24</v>
      </c>
      <c r="N34" s="471"/>
      <c r="O34" s="471"/>
      <c r="P34" s="469"/>
      <c r="Q34" s="469">
        <f t="shared" si="1"/>
        <v>24</v>
      </c>
      <c r="R34" s="34"/>
    </row>
    <row r="35" spans="1:18" ht="48.6" customHeight="1" x14ac:dyDescent="0.25">
      <c r="A35" s="472"/>
      <c r="B35" s="43"/>
      <c r="C35" s="43"/>
      <c r="D35" s="228" t="s">
        <v>18</v>
      </c>
      <c r="E35" s="228" t="s">
        <v>402</v>
      </c>
      <c r="F35" s="228" t="s">
        <v>553</v>
      </c>
      <c r="G35" s="35">
        <v>110</v>
      </c>
      <c r="H35" s="471"/>
      <c r="I35" s="471"/>
      <c r="J35" s="471"/>
      <c r="K35" s="471"/>
      <c r="L35" s="471"/>
      <c r="M35" s="471">
        <v>172.3</v>
      </c>
      <c r="N35" s="471"/>
      <c r="O35" s="471"/>
      <c r="P35" s="469"/>
      <c r="Q35" s="469">
        <f t="shared" si="1"/>
        <v>172.3</v>
      </c>
      <c r="R35" s="34"/>
    </row>
    <row r="36" spans="1:18" ht="48.6" customHeight="1" x14ac:dyDescent="0.25">
      <c r="A36" s="472"/>
      <c r="B36" s="43"/>
      <c r="C36" s="43"/>
      <c r="D36" s="228" t="s">
        <v>18</v>
      </c>
      <c r="E36" s="228" t="s">
        <v>402</v>
      </c>
      <c r="F36" s="228" t="s">
        <v>543</v>
      </c>
      <c r="G36" s="35">
        <v>110</v>
      </c>
      <c r="H36" s="471"/>
      <c r="I36" s="471"/>
      <c r="J36" s="471"/>
      <c r="K36" s="471"/>
      <c r="L36" s="471"/>
      <c r="M36" s="471">
        <v>51.5</v>
      </c>
      <c r="N36" s="471"/>
      <c r="O36" s="471"/>
      <c r="P36" s="469"/>
      <c r="Q36" s="469">
        <f t="shared" si="1"/>
        <v>51.5</v>
      </c>
      <c r="R36" s="34"/>
    </row>
    <row r="37" spans="1:18" ht="24.95" customHeight="1" x14ac:dyDescent="0.25">
      <c r="A37" s="472"/>
      <c r="B37" s="43"/>
      <c r="C37" s="43"/>
      <c r="D37" s="228" t="s">
        <v>18</v>
      </c>
      <c r="E37" s="228" t="s">
        <v>402</v>
      </c>
      <c r="F37" s="228" t="s">
        <v>534</v>
      </c>
      <c r="G37" s="35">
        <v>240</v>
      </c>
      <c r="H37" s="471"/>
      <c r="I37" s="471"/>
      <c r="J37" s="471"/>
      <c r="K37" s="471"/>
      <c r="L37" s="471"/>
      <c r="M37" s="471">
        <v>2454.6</v>
      </c>
      <c r="N37" s="471">
        <v>4654.6000000000004</v>
      </c>
      <c r="O37" s="471">
        <f>N37</f>
        <v>4654.6000000000004</v>
      </c>
      <c r="P37" s="469">
        <f t="shared" si="0"/>
        <v>4654.6000000000004</v>
      </c>
      <c r="Q37" s="469">
        <f t="shared" si="1"/>
        <v>16418.400000000001</v>
      </c>
      <c r="R37" s="34"/>
    </row>
    <row r="38" spans="1:18" ht="24.95" customHeight="1" x14ac:dyDescent="0.25">
      <c r="A38" s="472"/>
      <c r="B38" s="43"/>
      <c r="C38" s="43"/>
      <c r="D38" s="228" t="s">
        <v>18</v>
      </c>
      <c r="E38" s="228" t="s">
        <v>402</v>
      </c>
      <c r="F38" s="228" t="s">
        <v>534</v>
      </c>
      <c r="G38" s="35">
        <v>320</v>
      </c>
      <c r="H38" s="471"/>
      <c r="I38" s="471"/>
      <c r="J38" s="471"/>
      <c r="K38" s="471"/>
      <c r="L38" s="471"/>
      <c r="M38" s="471">
        <v>310.10000000000002</v>
      </c>
      <c r="N38" s="471"/>
      <c r="O38" s="471"/>
      <c r="P38" s="469">
        <f t="shared" si="0"/>
        <v>0</v>
      </c>
      <c r="Q38" s="469">
        <f t="shared" si="1"/>
        <v>310.10000000000002</v>
      </c>
      <c r="R38" s="34"/>
    </row>
    <row r="39" spans="1:18" ht="24.95" customHeight="1" x14ac:dyDescent="0.25">
      <c r="A39" s="472"/>
      <c r="B39" s="43"/>
      <c r="C39" s="43"/>
      <c r="D39" s="228" t="s">
        <v>18</v>
      </c>
      <c r="E39" s="228" t="s">
        <v>402</v>
      </c>
      <c r="F39" s="228" t="s">
        <v>534</v>
      </c>
      <c r="G39" s="35">
        <v>850</v>
      </c>
      <c r="H39" s="471"/>
      <c r="I39" s="471"/>
      <c r="J39" s="471"/>
      <c r="K39" s="471"/>
      <c r="L39" s="471"/>
      <c r="M39" s="471">
        <v>29.3</v>
      </c>
      <c r="N39" s="471">
        <v>36.9</v>
      </c>
      <c r="O39" s="471">
        <f>N39</f>
        <v>36.9</v>
      </c>
      <c r="P39" s="469">
        <f t="shared" si="0"/>
        <v>36.9</v>
      </c>
      <c r="Q39" s="469">
        <f t="shared" si="1"/>
        <v>140</v>
      </c>
      <c r="R39" s="34"/>
    </row>
    <row r="40" spans="1:18" ht="24.95" customHeight="1" x14ac:dyDescent="0.25">
      <c r="A40" s="260"/>
      <c r="B40" s="76"/>
      <c r="C40" s="76"/>
      <c r="D40" s="228" t="s">
        <v>18</v>
      </c>
      <c r="E40" s="228" t="s">
        <v>402</v>
      </c>
      <c r="F40" s="228" t="s">
        <v>541</v>
      </c>
      <c r="G40" s="35">
        <v>110</v>
      </c>
      <c r="H40" s="471"/>
      <c r="I40" s="471"/>
      <c r="J40" s="471"/>
      <c r="K40" s="471"/>
      <c r="L40" s="471"/>
      <c r="M40" s="471">
        <v>1700.2</v>
      </c>
      <c r="N40" s="471">
        <v>1391.4</v>
      </c>
      <c r="O40" s="471">
        <f>N40</f>
        <v>1391.4</v>
      </c>
      <c r="P40" s="469">
        <f t="shared" si="0"/>
        <v>1391.4</v>
      </c>
      <c r="Q40" s="469">
        <f t="shared" si="1"/>
        <v>5874.4</v>
      </c>
      <c r="R40" s="34"/>
    </row>
    <row r="41" spans="1:18" ht="24.95" customHeight="1" x14ac:dyDescent="0.25">
      <c r="A41" s="473" t="s">
        <v>318</v>
      </c>
      <c r="B41" s="473"/>
      <c r="C41" s="12"/>
      <c r="D41" s="228"/>
      <c r="E41" s="228"/>
      <c r="F41" s="279"/>
      <c r="G41" s="228"/>
      <c r="H41" s="471">
        <f>SUM(H7:H32)</f>
        <v>19536.699999999997</v>
      </c>
      <c r="I41" s="471">
        <f>SUM(I7:I32)</f>
        <v>21029.500000000004</v>
      </c>
      <c r="J41" s="471">
        <f>SUM(J7:J32)</f>
        <v>21804.799999999996</v>
      </c>
      <c r="K41" s="471">
        <f>SUM(K7:K32)</f>
        <v>23513.399999999994</v>
      </c>
      <c r="L41" s="471">
        <f>SUM(L7:L32)</f>
        <v>24124.210000000003</v>
      </c>
      <c r="M41" s="471">
        <f>SUM(M7:M40)</f>
        <v>32382.399999999998</v>
      </c>
      <c r="N41" s="471">
        <f>SUM(N7:N40)</f>
        <v>38880.000000000007</v>
      </c>
      <c r="O41" s="471">
        <f>SUM(O7:O40)</f>
        <v>38880.000000000007</v>
      </c>
      <c r="P41" s="471">
        <f>SUM(P7:P40)</f>
        <v>38880.000000000007</v>
      </c>
      <c r="Q41" s="471">
        <f>SUM(Q7:Q40)</f>
        <v>259031.00999999998</v>
      </c>
      <c r="R41" s="34"/>
    </row>
    <row r="42" spans="1:18" ht="35.1" customHeight="1" x14ac:dyDescent="0.25">
      <c r="A42" s="225" t="s">
        <v>516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</row>
    <row r="43" spans="1:18" ht="24.95" customHeight="1" x14ac:dyDescent="0.25">
      <c r="A43" s="271" t="s">
        <v>554</v>
      </c>
      <c r="B43" s="474" t="s">
        <v>555</v>
      </c>
      <c r="C43" s="34" t="s">
        <v>556</v>
      </c>
      <c r="D43" s="318" t="s">
        <v>18</v>
      </c>
      <c r="E43" s="335" t="s">
        <v>402</v>
      </c>
      <c r="F43" s="228" t="s">
        <v>557</v>
      </c>
      <c r="G43" s="12">
        <v>120</v>
      </c>
      <c r="H43" s="471">
        <v>817.5</v>
      </c>
      <c r="I43" s="471">
        <v>841.6</v>
      </c>
      <c r="J43" s="471">
        <v>858.7</v>
      </c>
      <c r="K43" s="471">
        <v>858.7</v>
      </c>
      <c r="L43" s="471">
        <v>1430.7</v>
      </c>
      <c r="M43" s="471">
        <v>1626.7</v>
      </c>
      <c r="N43" s="471">
        <v>1607.5</v>
      </c>
      <c r="O43" s="471">
        <v>1607.5</v>
      </c>
      <c r="P43" s="471">
        <f>O43</f>
        <v>1607.5</v>
      </c>
      <c r="Q43" s="471">
        <f>SUM(H43:P43)</f>
        <v>11256.4</v>
      </c>
      <c r="R43" s="34" t="s">
        <v>558</v>
      </c>
    </row>
    <row r="44" spans="1:18" ht="24.95" customHeight="1" x14ac:dyDescent="0.25">
      <c r="A44" s="271"/>
      <c r="B44" s="474"/>
      <c r="C44" s="34"/>
      <c r="D44" s="318"/>
      <c r="E44" s="335"/>
      <c r="F44" s="228" t="s">
        <v>557</v>
      </c>
      <c r="G44" s="12">
        <v>850</v>
      </c>
      <c r="H44" s="471"/>
      <c r="I44" s="471"/>
      <c r="J44" s="471">
        <v>0.3</v>
      </c>
      <c r="K44" s="471"/>
      <c r="L44" s="471">
        <v>0.6</v>
      </c>
      <c r="M44" s="471">
        <v>0.6</v>
      </c>
      <c r="N44" s="471"/>
      <c r="O44" s="471"/>
      <c r="P44" s="471">
        <f t="shared" ref="P44:P50" si="2">O44</f>
        <v>0</v>
      </c>
      <c r="Q44" s="471">
        <f t="shared" ref="Q44:Q49" si="3">SUM(H44:P44)</f>
        <v>1.5</v>
      </c>
      <c r="R44" s="34"/>
    </row>
    <row r="45" spans="1:18" ht="24.95" customHeight="1" x14ac:dyDescent="0.25">
      <c r="A45" s="271"/>
      <c r="B45" s="474"/>
      <c r="C45" s="34"/>
      <c r="D45" s="318"/>
      <c r="E45" s="335"/>
      <c r="F45" s="228" t="s">
        <v>557</v>
      </c>
      <c r="G45" s="35">
        <v>244</v>
      </c>
      <c r="H45" s="471">
        <v>248</v>
      </c>
      <c r="I45" s="471">
        <v>247.9</v>
      </c>
      <c r="J45" s="471">
        <v>247.6</v>
      </c>
      <c r="K45" s="471">
        <v>247.9</v>
      </c>
      <c r="L45" s="471">
        <v>383.9</v>
      </c>
      <c r="M45" s="471">
        <v>399</v>
      </c>
      <c r="N45" s="471">
        <v>401.5</v>
      </c>
      <c r="O45" s="471">
        <v>401.5</v>
      </c>
      <c r="P45" s="471">
        <f t="shared" si="2"/>
        <v>401.5</v>
      </c>
      <c r="Q45" s="471">
        <f t="shared" si="3"/>
        <v>2978.8</v>
      </c>
      <c r="R45" s="34"/>
    </row>
    <row r="46" spans="1:18" ht="24.95" customHeight="1" x14ac:dyDescent="0.25">
      <c r="A46" s="271" t="s">
        <v>559</v>
      </c>
      <c r="B46" s="474" t="s">
        <v>560</v>
      </c>
      <c r="C46" s="34" t="s">
        <v>561</v>
      </c>
      <c r="D46" s="228" t="s">
        <v>20</v>
      </c>
      <c r="E46" s="228" t="s">
        <v>292</v>
      </c>
      <c r="F46" s="228" t="s">
        <v>562</v>
      </c>
      <c r="G46" s="228" t="s">
        <v>563</v>
      </c>
      <c r="H46" s="471">
        <v>2129.1999999999998</v>
      </c>
      <c r="I46" s="471">
        <v>3247.3</v>
      </c>
      <c r="J46" s="471">
        <v>9009.9</v>
      </c>
      <c r="K46" s="471">
        <v>0</v>
      </c>
      <c r="L46" s="471"/>
      <c r="M46" s="471"/>
      <c r="N46" s="471"/>
      <c r="O46" s="471"/>
      <c r="P46" s="471">
        <f t="shared" si="2"/>
        <v>0</v>
      </c>
      <c r="Q46" s="471">
        <f t="shared" si="3"/>
        <v>14386.4</v>
      </c>
      <c r="R46" s="34" t="s">
        <v>564</v>
      </c>
    </row>
    <row r="47" spans="1:18" ht="24.95" customHeight="1" x14ac:dyDescent="0.25">
      <c r="A47" s="271"/>
      <c r="B47" s="474"/>
      <c r="C47" s="34"/>
      <c r="D47" s="228" t="s">
        <v>20</v>
      </c>
      <c r="E47" s="228" t="s">
        <v>292</v>
      </c>
      <c r="F47" s="228" t="s">
        <v>565</v>
      </c>
      <c r="G47" s="228" t="s">
        <v>563</v>
      </c>
      <c r="H47" s="471">
        <v>5394</v>
      </c>
      <c r="I47" s="471">
        <v>4190.7</v>
      </c>
      <c r="J47" s="471"/>
      <c r="K47" s="471"/>
      <c r="L47" s="471"/>
      <c r="M47" s="471"/>
      <c r="N47" s="471"/>
      <c r="O47" s="471"/>
      <c r="P47" s="471">
        <f t="shared" si="2"/>
        <v>0</v>
      </c>
      <c r="Q47" s="471">
        <f t="shared" si="3"/>
        <v>9584.7000000000007</v>
      </c>
      <c r="R47" s="34"/>
    </row>
    <row r="48" spans="1:18" ht="40.9" customHeight="1" x14ac:dyDescent="0.25">
      <c r="A48" s="271"/>
      <c r="B48" s="474"/>
      <c r="C48" s="34"/>
      <c r="D48" s="228" t="s">
        <v>20</v>
      </c>
      <c r="E48" s="228" t="s">
        <v>292</v>
      </c>
      <c r="F48" s="228" t="s">
        <v>566</v>
      </c>
      <c r="G48" s="228" t="s">
        <v>563</v>
      </c>
      <c r="H48" s="471"/>
      <c r="I48" s="471"/>
      <c r="J48" s="471">
        <v>473.9</v>
      </c>
      <c r="K48" s="471">
        <f>5610+2805+765</f>
        <v>9180</v>
      </c>
      <c r="L48" s="471">
        <v>10241.9</v>
      </c>
      <c r="M48" s="471">
        <v>9907.9</v>
      </c>
      <c r="N48" s="471">
        <v>1517.2</v>
      </c>
      <c r="O48" s="471">
        <v>1517.2</v>
      </c>
      <c r="P48" s="471">
        <f t="shared" si="2"/>
        <v>1517.2</v>
      </c>
      <c r="Q48" s="471">
        <f t="shared" si="3"/>
        <v>34355.299999999996</v>
      </c>
      <c r="R48" s="34"/>
    </row>
    <row r="49" spans="1:18" ht="35.1" customHeight="1" x14ac:dyDescent="0.3">
      <c r="A49" s="475" t="s">
        <v>417</v>
      </c>
      <c r="B49" s="475"/>
      <c r="C49" s="476"/>
      <c r="D49" s="477"/>
      <c r="E49" s="477"/>
      <c r="F49" s="478"/>
      <c r="G49" s="477"/>
      <c r="H49" s="471">
        <f t="shared" ref="H49:N49" si="4">SUM(H43:H48)</f>
        <v>8588.7000000000007</v>
      </c>
      <c r="I49" s="471">
        <f t="shared" si="4"/>
        <v>8527.5</v>
      </c>
      <c r="J49" s="471">
        <f t="shared" si="4"/>
        <v>10590.4</v>
      </c>
      <c r="K49" s="471">
        <f t="shared" si="4"/>
        <v>10286.6</v>
      </c>
      <c r="L49" s="471">
        <f>SUM(L43:L48)</f>
        <v>12057.099999999999</v>
      </c>
      <c r="M49" s="471">
        <f t="shared" si="4"/>
        <v>11934.199999999999</v>
      </c>
      <c r="N49" s="471">
        <f t="shared" si="4"/>
        <v>3526.2</v>
      </c>
      <c r="O49" s="471">
        <f>SUM(O43:O48)</f>
        <v>3526.2</v>
      </c>
      <c r="P49" s="471">
        <f t="shared" si="2"/>
        <v>3526.2</v>
      </c>
      <c r="Q49" s="471">
        <f t="shared" si="3"/>
        <v>72563.099999999991</v>
      </c>
      <c r="R49" s="479"/>
    </row>
    <row r="50" spans="1:18" s="133" customFormat="1" ht="35.1" customHeight="1" x14ac:dyDescent="0.2">
      <c r="A50" s="480" t="s">
        <v>319</v>
      </c>
      <c r="B50" s="480"/>
      <c r="C50" s="476"/>
      <c r="D50" s="477"/>
      <c r="E50" s="476"/>
      <c r="F50" s="476"/>
      <c r="G50" s="476"/>
      <c r="H50" s="471">
        <f t="shared" ref="H50:J50" si="5">H41+H49</f>
        <v>28125.399999999998</v>
      </c>
      <c r="I50" s="471">
        <f t="shared" si="5"/>
        <v>29557.000000000004</v>
      </c>
      <c r="J50" s="471">
        <f t="shared" si="5"/>
        <v>32395.199999999997</v>
      </c>
      <c r="K50" s="471">
        <f>K41+K49</f>
        <v>33799.999999999993</v>
      </c>
      <c r="L50" s="471">
        <f>L41+L49</f>
        <v>36181.31</v>
      </c>
      <c r="M50" s="471">
        <f>M41+M49</f>
        <v>44316.6</v>
      </c>
      <c r="N50" s="471">
        <f>N41+N49</f>
        <v>42406.200000000004</v>
      </c>
      <c r="O50" s="471">
        <f>O41+O49</f>
        <v>42406.200000000004</v>
      </c>
      <c r="P50" s="471">
        <f t="shared" si="2"/>
        <v>42406.200000000004</v>
      </c>
      <c r="Q50" s="471">
        <f>SUM(H50:P50)</f>
        <v>331594.11000000004</v>
      </c>
      <c r="R50" s="481"/>
    </row>
    <row r="51" spans="1:18" s="133" customFormat="1" ht="35.1" customHeight="1" x14ac:dyDescent="0.2">
      <c r="A51" s="480" t="s">
        <v>320</v>
      </c>
      <c r="B51" s="480"/>
      <c r="C51" s="476"/>
      <c r="D51" s="477"/>
      <c r="E51" s="476"/>
      <c r="F51" s="476"/>
      <c r="G51" s="476"/>
      <c r="H51" s="471">
        <f>H49</f>
        <v>8588.7000000000007</v>
      </c>
      <c r="I51" s="471">
        <f>I49</f>
        <v>8527.5</v>
      </c>
      <c r="J51" s="471">
        <f>J49</f>
        <v>10590.4</v>
      </c>
      <c r="K51" s="471">
        <f>K49</f>
        <v>10286.6</v>
      </c>
      <c r="L51" s="471">
        <f>L49+L31+L13+L12+L15+L11</f>
        <v>12950.499999999998</v>
      </c>
      <c r="M51" s="471">
        <f>M10+M12+M13+M18+M19+M26+M27+M34+M35+M36+M49</f>
        <v>12440.3</v>
      </c>
      <c r="N51" s="471">
        <f>N10+N12+N13+N18+N19+N26+N27+N34+N35+N36+N49</f>
        <v>3526.2</v>
      </c>
      <c r="O51" s="471">
        <f>O10+O12+O13+O18+O19+O26+O27+O34+O35+O36+O49</f>
        <v>3526.2</v>
      </c>
      <c r="P51" s="471">
        <f>P10+P12+P13+P18+P19+P26+P27+P34+P35+P36+P49</f>
        <v>3526.2</v>
      </c>
      <c r="Q51" s="471">
        <f>Q10+Q12+Q13+Q18+Q19+Q26+Q27+Q34+Q35+Q36+Q49</f>
        <v>73138.499999999985</v>
      </c>
      <c r="R51" s="481"/>
    </row>
    <row r="52" spans="1:18" s="133" customFormat="1" ht="35.1" customHeight="1" x14ac:dyDescent="0.2">
      <c r="A52" s="480" t="s">
        <v>321</v>
      </c>
      <c r="B52" s="480"/>
      <c r="C52" s="476"/>
      <c r="D52" s="477"/>
      <c r="E52" s="476"/>
      <c r="F52" s="476"/>
      <c r="G52" s="476"/>
      <c r="H52" s="471">
        <f>H41</f>
        <v>19536.699999999997</v>
      </c>
      <c r="I52" s="471">
        <f>I41</f>
        <v>21029.500000000004</v>
      </c>
      <c r="J52" s="471">
        <f>J41</f>
        <v>21804.799999999996</v>
      </c>
      <c r="K52" s="471">
        <f>K41</f>
        <v>23513.399999999994</v>
      </c>
      <c r="L52" s="471">
        <f>L7+L8+L14+L16+L17+L20+L21+L22+L23+L24+L28+L29+L9</f>
        <v>23230.81</v>
      </c>
      <c r="M52" s="471">
        <f>M50-M51</f>
        <v>31876.3</v>
      </c>
      <c r="N52" s="471">
        <f>N50-N51</f>
        <v>38880.000000000007</v>
      </c>
      <c r="O52" s="471">
        <f>O50-O51</f>
        <v>38880.000000000007</v>
      </c>
      <c r="P52" s="471">
        <f>P50-P51</f>
        <v>38880.000000000007</v>
      </c>
      <c r="Q52" s="471">
        <f>Q50-Q51</f>
        <v>258455.61000000004</v>
      </c>
      <c r="R52" s="481"/>
    </row>
    <row r="53" spans="1:18" s="308" customFormat="1" ht="56.25" customHeight="1" x14ac:dyDescent="0.3">
      <c r="A53" s="482" t="s">
        <v>33</v>
      </c>
      <c r="B53" s="482"/>
      <c r="C53" s="482"/>
      <c r="D53" s="483"/>
      <c r="E53" s="483"/>
      <c r="F53" s="483"/>
      <c r="G53" s="483"/>
      <c r="H53" s="483"/>
      <c r="I53" s="484"/>
      <c r="J53" s="485"/>
      <c r="K53" s="486"/>
      <c r="L53" s="487"/>
      <c r="M53" s="487"/>
      <c r="N53" s="485"/>
      <c r="O53" s="485"/>
      <c r="P53" s="485"/>
      <c r="Q53" s="485"/>
      <c r="R53" s="488" t="s">
        <v>34</v>
      </c>
    </row>
    <row r="54" spans="1:18" x14ac:dyDescent="0.25">
      <c r="A54" s="290"/>
      <c r="B54" s="291"/>
      <c r="C54" s="292"/>
      <c r="D54" s="292"/>
      <c r="E54" s="292"/>
      <c r="F54" s="292"/>
      <c r="G54" s="292"/>
      <c r="H54" s="292"/>
      <c r="L54" s="55"/>
    </row>
    <row r="55" spans="1:18" x14ac:dyDescent="0.25">
      <c r="A55" s="290"/>
      <c r="B55" s="291"/>
      <c r="C55" s="292"/>
      <c r="D55" s="292"/>
      <c r="E55" s="292"/>
      <c r="F55" s="292"/>
      <c r="G55" s="292"/>
      <c r="H55" s="292"/>
    </row>
    <row r="56" spans="1:18" x14ac:dyDescent="0.25">
      <c r="A56" s="290"/>
      <c r="B56" s="291"/>
      <c r="C56" s="292"/>
      <c r="D56" s="292"/>
      <c r="E56" s="292"/>
      <c r="F56" s="292"/>
      <c r="G56" s="292"/>
      <c r="H56" s="292"/>
      <c r="I56" s="53"/>
    </row>
    <row r="57" spans="1:18" x14ac:dyDescent="0.25">
      <c r="A57" s="290"/>
      <c r="B57" s="291"/>
      <c r="C57" s="292"/>
      <c r="D57" s="292"/>
      <c r="E57" s="292"/>
      <c r="F57" s="292"/>
      <c r="G57" s="292"/>
      <c r="H57" s="292"/>
    </row>
    <row r="58" spans="1:18" x14ac:dyDescent="0.25">
      <c r="A58" s="290"/>
      <c r="B58" s="291"/>
      <c r="C58" s="292"/>
      <c r="D58" s="292"/>
      <c r="E58" s="292"/>
      <c r="F58" s="292"/>
      <c r="G58" s="292"/>
      <c r="H58" s="292"/>
    </row>
    <row r="59" spans="1:18" x14ac:dyDescent="0.25">
      <c r="A59" s="290"/>
      <c r="B59" s="291"/>
      <c r="C59" s="292"/>
      <c r="D59" s="292"/>
      <c r="E59" s="292"/>
      <c r="F59" s="292"/>
      <c r="G59" s="292"/>
      <c r="H59" s="292"/>
    </row>
    <row r="60" spans="1:18" x14ac:dyDescent="0.25">
      <c r="A60" s="290"/>
      <c r="B60" s="291"/>
      <c r="C60" s="292"/>
      <c r="D60" s="292"/>
      <c r="E60" s="292"/>
      <c r="F60" s="292"/>
      <c r="G60" s="292"/>
      <c r="H60" s="292"/>
    </row>
    <row r="61" spans="1:18" x14ac:dyDescent="0.25">
      <c r="A61" s="290"/>
      <c r="B61" s="291"/>
      <c r="C61" s="292"/>
      <c r="D61" s="292"/>
      <c r="E61" s="292"/>
      <c r="F61" s="292"/>
      <c r="G61" s="292"/>
      <c r="H61" s="292"/>
    </row>
    <row r="62" spans="1:18" x14ac:dyDescent="0.25">
      <c r="A62" s="290"/>
      <c r="B62" s="291"/>
      <c r="C62" s="292"/>
      <c r="D62" s="292"/>
      <c r="E62" s="292"/>
      <c r="F62" s="292"/>
      <c r="G62" s="292"/>
      <c r="H62" s="292"/>
    </row>
    <row r="63" spans="1:18" x14ac:dyDescent="0.25">
      <c r="A63" s="290"/>
      <c r="B63" s="291"/>
      <c r="C63" s="292"/>
      <c r="D63" s="292"/>
      <c r="E63" s="292"/>
      <c r="F63" s="292"/>
      <c r="G63" s="292"/>
      <c r="H63" s="292"/>
    </row>
    <row r="64" spans="1:18" x14ac:dyDescent="0.25">
      <c r="A64" s="290"/>
      <c r="B64" s="291"/>
      <c r="C64" s="292"/>
      <c r="D64" s="292"/>
      <c r="E64" s="292"/>
      <c r="F64" s="292"/>
      <c r="G64" s="292"/>
      <c r="H64" s="292"/>
    </row>
    <row r="65" spans="1:8" x14ac:dyDescent="0.25">
      <c r="A65" s="290"/>
      <c r="B65" s="291"/>
      <c r="C65" s="292"/>
      <c r="D65" s="292"/>
      <c r="E65" s="292"/>
      <c r="F65" s="292"/>
      <c r="G65" s="292"/>
      <c r="H65" s="292"/>
    </row>
    <row r="66" spans="1:8" x14ac:dyDescent="0.25">
      <c r="A66" s="290"/>
      <c r="B66" s="291"/>
      <c r="C66" s="292"/>
      <c r="D66" s="292"/>
      <c r="E66" s="292"/>
      <c r="F66" s="292"/>
      <c r="G66" s="292"/>
      <c r="H66" s="292"/>
    </row>
    <row r="67" spans="1:8" x14ac:dyDescent="0.25">
      <c r="A67" s="290"/>
      <c r="B67" s="291"/>
      <c r="C67" s="292"/>
      <c r="D67" s="292"/>
      <c r="E67" s="292"/>
      <c r="F67" s="292"/>
      <c r="G67" s="292"/>
      <c r="H67" s="292"/>
    </row>
    <row r="68" spans="1:8" x14ac:dyDescent="0.25">
      <c r="A68" s="290"/>
      <c r="B68" s="291"/>
      <c r="C68" s="292"/>
      <c r="D68" s="292"/>
      <c r="E68" s="292"/>
      <c r="F68" s="292"/>
      <c r="G68" s="292"/>
      <c r="H68" s="292"/>
    </row>
    <row r="69" spans="1:8" x14ac:dyDescent="0.25">
      <c r="A69" s="290"/>
      <c r="B69" s="291"/>
      <c r="C69" s="292"/>
      <c r="D69" s="292"/>
      <c r="E69" s="292"/>
      <c r="F69" s="292"/>
      <c r="G69" s="292"/>
      <c r="H69" s="292"/>
    </row>
    <row r="70" spans="1:8" x14ac:dyDescent="0.25">
      <c r="A70" s="290"/>
      <c r="B70" s="291"/>
      <c r="C70" s="292"/>
      <c r="D70" s="292"/>
      <c r="E70" s="292"/>
      <c r="F70" s="292"/>
      <c r="G70" s="292"/>
      <c r="H70" s="292"/>
    </row>
    <row r="71" spans="1:8" x14ac:dyDescent="0.25">
      <c r="A71" s="290"/>
      <c r="B71" s="291"/>
      <c r="C71" s="292"/>
      <c r="D71" s="292"/>
      <c r="E71" s="292"/>
      <c r="F71" s="292"/>
      <c r="G71" s="292"/>
      <c r="H71" s="292"/>
    </row>
    <row r="72" spans="1:8" x14ac:dyDescent="0.25">
      <c r="A72" s="290"/>
      <c r="B72" s="291"/>
      <c r="C72" s="292"/>
      <c r="D72" s="292"/>
      <c r="E72" s="292"/>
      <c r="F72" s="292"/>
      <c r="G72" s="292"/>
      <c r="H72" s="292"/>
    </row>
    <row r="73" spans="1:8" x14ac:dyDescent="0.25">
      <c r="A73" s="290"/>
      <c r="B73" s="291"/>
      <c r="C73" s="292"/>
      <c r="D73" s="292"/>
      <c r="E73" s="292"/>
      <c r="F73" s="292"/>
      <c r="G73" s="292"/>
      <c r="H73" s="292"/>
    </row>
    <row r="74" spans="1:8" x14ac:dyDescent="0.25">
      <c r="A74" s="290"/>
      <c r="B74" s="291"/>
      <c r="C74" s="292"/>
      <c r="D74" s="292"/>
      <c r="E74" s="292"/>
      <c r="F74" s="292"/>
      <c r="G74" s="292"/>
      <c r="H74" s="292"/>
    </row>
    <row r="75" spans="1:8" x14ac:dyDescent="0.25">
      <c r="A75" s="290"/>
      <c r="B75" s="291"/>
      <c r="C75" s="292"/>
      <c r="D75" s="292"/>
      <c r="E75" s="292"/>
      <c r="F75" s="292"/>
      <c r="G75" s="292"/>
      <c r="H75" s="292"/>
    </row>
    <row r="76" spans="1:8" x14ac:dyDescent="0.25">
      <c r="A76" s="290"/>
      <c r="B76" s="291"/>
      <c r="C76" s="292"/>
      <c r="D76" s="292"/>
      <c r="E76" s="292"/>
      <c r="F76" s="292"/>
      <c r="G76" s="292"/>
      <c r="H76" s="292"/>
    </row>
    <row r="77" spans="1:8" x14ac:dyDescent="0.25">
      <c r="A77" s="290"/>
      <c r="B77" s="291"/>
      <c r="C77" s="292"/>
      <c r="D77" s="292"/>
      <c r="E77" s="292"/>
      <c r="F77" s="292"/>
      <c r="G77" s="292"/>
      <c r="H77" s="292"/>
    </row>
    <row r="78" spans="1:8" x14ac:dyDescent="0.25">
      <c r="A78" s="290"/>
      <c r="B78" s="291"/>
      <c r="C78" s="292"/>
      <c r="D78" s="292"/>
      <c r="E78" s="292"/>
      <c r="F78" s="292"/>
      <c r="G78" s="292"/>
      <c r="H78" s="292"/>
    </row>
    <row r="79" spans="1:8" x14ac:dyDescent="0.25">
      <c r="A79" s="290"/>
      <c r="B79" s="291"/>
      <c r="C79" s="292"/>
      <c r="D79" s="292"/>
      <c r="E79" s="292"/>
      <c r="F79" s="292"/>
      <c r="G79" s="292"/>
      <c r="H79" s="292"/>
    </row>
    <row r="80" spans="1:8" x14ac:dyDescent="0.25">
      <c r="A80" s="290"/>
      <c r="B80" s="291"/>
      <c r="C80" s="292"/>
      <c r="D80" s="292"/>
      <c r="E80" s="292"/>
      <c r="F80" s="292"/>
      <c r="G80" s="292"/>
      <c r="H80" s="292"/>
    </row>
    <row r="81" spans="1:8" x14ac:dyDescent="0.25">
      <c r="A81" s="290"/>
      <c r="B81" s="291"/>
      <c r="C81" s="292"/>
      <c r="D81" s="292"/>
      <c r="E81" s="292"/>
      <c r="F81" s="292"/>
      <c r="G81" s="292"/>
      <c r="H81" s="292"/>
    </row>
    <row r="82" spans="1:8" x14ac:dyDescent="0.25">
      <c r="A82" s="290"/>
      <c r="B82" s="291"/>
      <c r="C82" s="292"/>
      <c r="D82" s="292"/>
      <c r="E82" s="292"/>
      <c r="F82" s="292"/>
      <c r="G82" s="292"/>
      <c r="H82" s="292"/>
    </row>
    <row r="83" spans="1:8" x14ac:dyDescent="0.25">
      <c r="A83" s="290"/>
      <c r="B83" s="291"/>
      <c r="C83" s="292"/>
      <c r="D83" s="292"/>
      <c r="E83" s="292"/>
      <c r="F83" s="292"/>
      <c r="G83" s="292"/>
      <c r="H83" s="292"/>
    </row>
    <row r="84" spans="1:8" x14ac:dyDescent="0.25">
      <c r="A84" s="290"/>
      <c r="B84" s="291"/>
      <c r="C84" s="292"/>
      <c r="D84" s="292"/>
      <c r="E84" s="292"/>
      <c r="F84" s="292"/>
      <c r="G84" s="292"/>
      <c r="H84" s="292"/>
    </row>
    <row r="85" spans="1:8" x14ac:dyDescent="0.25">
      <c r="A85" s="290"/>
      <c r="B85" s="291"/>
      <c r="C85" s="292"/>
      <c r="D85" s="292"/>
      <c r="E85" s="292"/>
      <c r="F85" s="292"/>
      <c r="G85" s="292"/>
      <c r="H85" s="292"/>
    </row>
    <row r="86" spans="1:8" x14ac:dyDescent="0.25">
      <c r="A86" s="290"/>
      <c r="B86" s="291"/>
      <c r="C86" s="292"/>
      <c r="D86" s="292"/>
      <c r="E86" s="292"/>
      <c r="F86" s="292"/>
      <c r="G86" s="292"/>
      <c r="H86" s="292"/>
    </row>
    <row r="87" spans="1:8" x14ac:dyDescent="0.25">
      <c r="A87" s="290"/>
      <c r="B87" s="291"/>
      <c r="C87" s="292"/>
      <c r="D87" s="292"/>
      <c r="E87" s="292"/>
      <c r="F87" s="292"/>
      <c r="G87" s="292"/>
      <c r="H87" s="292"/>
    </row>
    <row r="88" spans="1:8" x14ac:dyDescent="0.25">
      <c r="A88" s="290"/>
      <c r="B88" s="291"/>
      <c r="C88" s="292"/>
      <c r="D88" s="292"/>
      <c r="E88" s="292"/>
      <c r="F88" s="292"/>
      <c r="G88" s="292"/>
      <c r="H88" s="292"/>
    </row>
    <row r="89" spans="1:8" x14ac:dyDescent="0.25">
      <c r="A89" s="290"/>
      <c r="B89" s="291"/>
      <c r="C89" s="292"/>
      <c r="D89" s="292"/>
      <c r="E89" s="292"/>
      <c r="F89" s="292"/>
      <c r="G89" s="292"/>
      <c r="H89" s="292"/>
    </row>
    <row r="90" spans="1:8" x14ac:dyDescent="0.25">
      <c r="A90" s="290"/>
      <c r="B90" s="291"/>
      <c r="C90" s="292"/>
      <c r="D90" s="292"/>
      <c r="E90" s="292"/>
      <c r="F90" s="292"/>
      <c r="G90" s="292"/>
      <c r="H90" s="292"/>
    </row>
  </sheetData>
  <mergeCells count="43">
    <mergeCell ref="A51:B51"/>
    <mergeCell ref="A52:B52"/>
    <mergeCell ref="A53:C53"/>
    <mergeCell ref="A46:A48"/>
    <mergeCell ref="B46:B48"/>
    <mergeCell ref="C46:C48"/>
    <mergeCell ref="R46:R48"/>
    <mergeCell ref="A49:B49"/>
    <mergeCell ref="A50:B50"/>
    <mergeCell ref="C33:C40"/>
    <mergeCell ref="A41:B41"/>
    <mergeCell ref="A42:R42"/>
    <mergeCell ref="A43:A45"/>
    <mergeCell ref="B43:B45"/>
    <mergeCell ref="C43:C45"/>
    <mergeCell ref="D43:D45"/>
    <mergeCell ref="E43:E45"/>
    <mergeCell ref="R43:R45"/>
    <mergeCell ref="A15:A21"/>
    <mergeCell ref="B15:B21"/>
    <mergeCell ref="C15:C21"/>
    <mergeCell ref="R15:R21"/>
    <mergeCell ref="A22:A32"/>
    <mergeCell ref="B22:B32"/>
    <mergeCell ref="C22:C32"/>
    <mergeCell ref="R22:R41"/>
    <mergeCell ref="A33:A40"/>
    <mergeCell ref="B33:B40"/>
    <mergeCell ref="A5:R5"/>
    <mergeCell ref="A6:R6"/>
    <mergeCell ref="A7:A13"/>
    <mergeCell ref="B7:B13"/>
    <mergeCell ref="C7:C13"/>
    <mergeCell ref="R7:R8"/>
    <mergeCell ref="I1:J1"/>
    <mergeCell ref="Q1:R1"/>
    <mergeCell ref="A2:R2"/>
    <mergeCell ref="A3:A4"/>
    <mergeCell ref="B3:B4"/>
    <mergeCell ref="C3:C4"/>
    <mergeCell ref="D3:G3"/>
    <mergeCell ref="H3:Q3"/>
    <mergeCell ref="R3:R4"/>
  </mergeCells>
  <pageMargins left="0.31496062992125984" right="0.31496062992125984" top="0.15748031496062992" bottom="0.15748031496062992" header="0" footer="0"/>
  <pageSetup paperSize="9" scale="32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135"/>
  <sheetViews>
    <sheetView view="pageBreakPreview" topLeftCell="C1" zoomScaleNormal="100" zoomScaleSheetLayoutView="100" workbookViewId="0">
      <selection activeCell="H18" sqref="H18"/>
    </sheetView>
  </sheetViews>
  <sheetFormatPr defaultColWidth="9.28515625" defaultRowHeight="15" x14ac:dyDescent="0.2"/>
  <cols>
    <col min="1" max="1" width="18.42578125" style="57" customWidth="1"/>
    <col min="2" max="2" width="24.85546875" style="57" customWidth="1"/>
    <col min="3" max="3" width="30.140625" style="57" customWidth="1"/>
    <col min="4" max="4" width="13.42578125" style="57" customWidth="1"/>
    <col min="5" max="13" width="16" style="57" customWidth="1"/>
    <col min="14" max="16384" width="9.28515625" style="57"/>
  </cols>
  <sheetData>
    <row r="1" spans="1:13" ht="72" customHeight="1" x14ac:dyDescent="0.25">
      <c r="C1" s="54"/>
      <c r="D1" s="54"/>
      <c r="F1" s="58"/>
      <c r="G1" s="58"/>
      <c r="H1" s="58"/>
      <c r="I1" s="59" t="s">
        <v>35</v>
      </c>
      <c r="J1" s="59"/>
      <c r="K1" s="59"/>
      <c r="L1" s="59"/>
      <c r="M1" s="59"/>
    </row>
    <row r="2" spans="1:13" ht="55.5" customHeight="1" x14ac:dyDescent="0.2">
      <c r="A2" s="60" t="s">
        <v>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33.75" customHeight="1" x14ac:dyDescent="0.2">
      <c r="A3" s="51" t="s">
        <v>37</v>
      </c>
      <c r="B3" s="34" t="s">
        <v>38</v>
      </c>
      <c r="C3" s="61" t="s">
        <v>39</v>
      </c>
      <c r="D3" s="62" t="s">
        <v>40</v>
      </c>
      <c r="E3" s="62"/>
      <c r="F3" s="62"/>
      <c r="G3" s="62"/>
      <c r="H3" s="62"/>
      <c r="I3" s="62"/>
      <c r="J3" s="62"/>
      <c r="K3" s="62"/>
      <c r="L3" s="62"/>
      <c r="M3" s="62"/>
    </row>
    <row r="4" spans="1:13" ht="36" customHeight="1" x14ac:dyDescent="0.2">
      <c r="A4" s="51"/>
      <c r="B4" s="34"/>
      <c r="C4" s="63"/>
      <c r="D4" s="64" t="s">
        <v>41</v>
      </c>
      <c r="E4" s="64" t="s">
        <v>42</v>
      </c>
      <c r="F4" s="64" t="s">
        <v>43</v>
      </c>
      <c r="G4" s="65" t="s">
        <v>44</v>
      </c>
      <c r="H4" s="64" t="s">
        <v>45</v>
      </c>
      <c r="I4" s="66" t="s">
        <v>46</v>
      </c>
      <c r="J4" s="64" t="s">
        <v>47</v>
      </c>
      <c r="K4" s="64" t="s">
        <v>48</v>
      </c>
      <c r="L4" s="65" t="s">
        <v>49</v>
      </c>
      <c r="M4" s="64" t="s">
        <v>11</v>
      </c>
    </row>
    <row r="5" spans="1:13" ht="15.75" customHeight="1" x14ac:dyDescent="0.2">
      <c r="A5" s="41" t="s">
        <v>12</v>
      </c>
      <c r="B5" s="42" t="s">
        <v>13</v>
      </c>
      <c r="C5" s="67" t="s">
        <v>50</v>
      </c>
      <c r="D5" s="68">
        <f t="shared" ref="D5:J5" si="0">D7+D8+D9</f>
        <v>447829.60000000003</v>
      </c>
      <c r="E5" s="68">
        <f t="shared" si="0"/>
        <v>473625.59999999998</v>
      </c>
      <c r="F5" s="68">
        <f t="shared" si="0"/>
        <v>511729.69999999995</v>
      </c>
      <c r="G5" s="69">
        <f t="shared" si="0"/>
        <v>523228.00000000006</v>
      </c>
      <c r="H5" s="69">
        <f>H7+H8+H9</f>
        <v>549349</v>
      </c>
      <c r="I5" s="69">
        <f t="shared" si="0"/>
        <v>604784.30000000005</v>
      </c>
      <c r="J5" s="69">
        <f t="shared" si="0"/>
        <v>499285.2</v>
      </c>
      <c r="K5" s="69">
        <f>K7+K8+K9</f>
        <v>499285.2</v>
      </c>
      <c r="L5" s="69">
        <f>K5</f>
        <v>499285.2</v>
      </c>
      <c r="M5" s="69">
        <f>SUM(D5:L5)</f>
        <v>4608401.8000000007</v>
      </c>
    </row>
    <row r="6" spans="1:13" ht="15.75" x14ac:dyDescent="0.2">
      <c r="A6" s="43"/>
      <c r="B6" s="44"/>
      <c r="C6" s="70" t="s">
        <v>51</v>
      </c>
      <c r="D6" s="71"/>
      <c r="E6" s="72"/>
      <c r="F6" s="72"/>
      <c r="G6" s="73"/>
      <c r="H6" s="73"/>
      <c r="I6" s="73"/>
      <c r="J6" s="73"/>
      <c r="K6" s="73"/>
      <c r="L6" s="69">
        <f t="shared" ref="L6:L29" si="1">K6</f>
        <v>0</v>
      </c>
      <c r="M6" s="69">
        <f t="shared" ref="M6:M29" si="2">SUM(D6:L6)</f>
        <v>0</v>
      </c>
    </row>
    <row r="7" spans="1:13" ht="15.75" customHeight="1" x14ac:dyDescent="0.2">
      <c r="A7" s="43"/>
      <c r="B7" s="44"/>
      <c r="C7" s="74" t="s">
        <v>52</v>
      </c>
      <c r="D7" s="68">
        <f>D12+D17+D22+D27</f>
        <v>215148.1</v>
      </c>
      <c r="E7" s="68">
        <f t="shared" ref="E7:J9" si="3">E12+E17+E22+E27</f>
        <v>208367.5</v>
      </c>
      <c r="F7" s="68">
        <f t="shared" si="3"/>
        <v>280623.8</v>
      </c>
      <c r="G7" s="69">
        <f t="shared" si="3"/>
        <v>301525.8</v>
      </c>
      <c r="H7" s="69">
        <f t="shared" si="3"/>
        <v>326259.80000000005</v>
      </c>
      <c r="I7" s="75">
        <f t="shared" si="3"/>
        <v>346744.3</v>
      </c>
      <c r="J7" s="69">
        <f t="shared" si="3"/>
        <v>303649.2</v>
      </c>
      <c r="K7" s="69">
        <f>K12+K17+K22+K27</f>
        <v>303649.2</v>
      </c>
      <c r="L7" s="69">
        <f t="shared" si="1"/>
        <v>303649.2</v>
      </c>
      <c r="M7" s="69">
        <f t="shared" si="2"/>
        <v>2589616.9000000004</v>
      </c>
    </row>
    <row r="8" spans="1:13" ht="15.75" x14ac:dyDescent="0.2">
      <c r="A8" s="43"/>
      <c r="B8" s="44"/>
      <c r="C8" s="74" t="s">
        <v>53</v>
      </c>
      <c r="D8" s="68">
        <f>D13+D18+D23+D28</f>
        <v>217161.60000000001</v>
      </c>
      <c r="E8" s="68">
        <f t="shared" si="3"/>
        <v>249957.8</v>
      </c>
      <c r="F8" s="68">
        <f t="shared" si="3"/>
        <v>211534.09999999998</v>
      </c>
      <c r="G8" s="69">
        <f t="shared" si="3"/>
        <v>199302.50000000003</v>
      </c>
      <c r="H8" s="69">
        <f>H13+H18+H23+H28</f>
        <v>198036.09999999998</v>
      </c>
      <c r="I8" s="75">
        <f t="shared" si="3"/>
        <v>232876.7</v>
      </c>
      <c r="J8" s="69">
        <f t="shared" si="3"/>
        <v>170472.7</v>
      </c>
      <c r="K8" s="69">
        <f>K13+K18+K23+K28</f>
        <v>170472.7</v>
      </c>
      <c r="L8" s="69">
        <f t="shared" si="1"/>
        <v>170472.7</v>
      </c>
      <c r="M8" s="69">
        <f t="shared" si="2"/>
        <v>1820286.9</v>
      </c>
    </row>
    <row r="9" spans="1:13" ht="15" customHeight="1" x14ac:dyDescent="0.2">
      <c r="A9" s="76"/>
      <c r="B9" s="45"/>
      <c r="C9" s="74" t="s">
        <v>54</v>
      </c>
      <c r="D9" s="68">
        <f>D14+D19+D24+D29</f>
        <v>15519.9</v>
      </c>
      <c r="E9" s="68">
        <f t="shared" si="3"/>
        <v>15300.3</v>
      </c>
      <c r="F9" s="68">
        <f t="shared" si="3"/>
        <v>19571.8</v>
      </c>
      <c r="G9" s="69">
        <f>G14+G19+G24+G29</f>
        <v>22399.7</v>
      </c>
      <c r="H9" s="69">
        <f>H14+H19+H24+H29</f>
        <v>25053.100000000002</v>
      </c>
      <c r="I9" s="69">
        <f t="shared" si="3"/>
        <v>25163.300000000003</v>
      </c>
      <c r="J9" s="69">
        <f t="shared" si="3"/>
        <v>25163.300000000003</v>
      </c>
      <c r="K9" s="69">
        <f>K14+K19+K24+K29</f>
        <v>25163.300000000003</v>
      </c>
      <c r="L9" s="69">
        <f t="shared" si="1"/>
        <v>25163.300000000003</v>
      </c>
      <c r="M9" s="69">
        <f t="shared" si="2"/>
        <v>198498</v>
      </c>
    </row>
    <row r="10" spans="1:13" ht="15.75" customHeight="1" x14ac:dyDescent="0.2">
      <c r="A10" s="41" t="s">
        <v>55</v>
      </c>
      <c r="B10" s="42" t="s">
        <v>24</v>
      </c>
      <c r="C10" s="67" t="s">
        <v>50</v>
      </c>
      <c r="D10" s="68">
        <f t="shared" ref="D10:J10" si="4">D12+D13+D14</f>
        <v>198091.59999999998</v>
      </c>
      <c r="E10" s="68">
        <f t="shared" si="4"/>
        <v>204824.59999999998</v>
      </c>
      <c r="F10" s="68">
        <f t="shared" si="4"/>
        <v>219030.5</v>
      </c>
      <c r="G10" s="69">
        <f t="shared" si="4"/>
        <v>218633.1</v>
      </c>
      <c r="H10" s="69">
        <f t="shared" si="4"/>
        <v>229336.9</v>
      </c>
      <c r="I10" s="75">
        <f t="shared" si="4"/>
        <v>265133.40000000002</v>
      </c>
      <c r="J10" s="69">
        <f t="shared" si="4"/>
        <v>218059.1</v>
      </c>
      <c r="K10" s="69">
        <f>K12+K13+K14</f>
        <v>218059.1</v>
      </c>
      <c r="L10" s="69">
        <f t="shared" si="1"/>
        <v>218059.1</v>
      </c>
      <c r="M10" s="69">
        <f t="shared" si="2"/>
        <v>1989227.4000000004</v>
      </c>
    </row>
    <row r="11" spans="1:13" ht="15.75" x14ac:dyDescent="0.2">
      <c r="A11" s="43"/>
      <c r="B11" s="44"/>
      <c r="C11" s="70" t="s">
        <v>51</v>
      </c>
      <c r="D11" s="71"/>
      <c r="E11" s="68"/>
      <c r="F11" s="72"/>
      <c r="G11" s="73"/>
      <c r="H11" s="73"/>
      <c r="I11" s="73"/>
      <c r="J11" s="73"/>
      <c r="K11" s="73"/>
      <c r="L11" s="69">
        <f t="shared" si="1"/>
        <v>0</v>
      </c>
      <c r="M11" s="69">
        <f t="shared" si="2"/>
        <v>0</v>
      </c>
    </row>
    <row r="12" spans="1:13" ht="15.75" x14ac:dyDescent="0.2">
      <c r="A12" s="43"/>
      <c r="B12" s="44"/>
      <c r="C12" s="77" t="s">
        <v>56</v>
      </c>
      <c r="D12" s="78">
        <v>92552.9</v>
      </c>
      <c r="E12" s="68">
        <v>81485.8</v>
      </c>
      <c r="F12" s="72">
        <v>116158.7</v>
      </c>
      <c r="G12" s="73">
        <v>122752.3</v>
      </c>
      <c r="H12" s="73">
        <v>129296.8</v>
      </c>
      <c r="I12" s="73">
        <v>143257.1</v>
      </c>
      <c r="J12" s="73">
        <v>125514.1</v>
      </c>
      <c r="K12" s="73">
        <v>125514.1</v>
      </c>
      <c r="L12" s="69">
        <f t="shared" si="1"/>
        <v>125514.1</v>
      </c>
      <c r="M12" s="69">
        <f t="shared" si="2"/>
        <v>1062045.8999999999</v>
      </c>
    </row>
    <row r="13" spans="1:13" ht="15.75" x14ac:dyDescent="0.2">
      <c r="A13" s="43"/>
      <c r="B13" s="44"/>
      <c r="C13" s="77" t="s">
        <v>57</v>
      </c>
      <c r="D13" s="78">
        <v>92376.4</v>
      </c>
      <c r="E13" s="68">
        <v>110895</v>
      </c>
      <c r="F13" s="68">
        <v>86284.2</v>
      </c>
      <c r="G13" s="69">
        <v>76465.3</v>
      </c>
      <c r="H13" s="69">
        <v>78788.7</v>
      </c>
      <c r="I13" s="69">
        <v>100107.9</v>
      </c>
      <c r="J13" s="69">
        <v>70776.600000000006</v>
      </c>
      <c r="K13" s="69">
        <v>70776.600000000006</v>
      </c>
      <c r="L13" s="69">
        <f t="shared" si="1"/>
        <v>70776.600000000006</v>
      </c>
      <c r="M13" s="69">
        <f t="shared" si="2"/>
        <v>757247.29999999993</v>
      </c>
    </row>
    <row r="14" spans="1:13" ht="31.5" x14ac:dyDescent="0.2">
      <c r="A14" s="76"/>
      <c r="B14" s="45"/>
      <c r="C14" s="77" t="s">
        <v>58</v>
      </c>
      <c r="D14" s="78">
        <v>13162.3</v>
      </c>
      <c r="E14" s="68">
        <v>12443.8</v>
      </c>
      <c r="F14" s="72">
        <v>16587.599999999999</v>
      </c>
      <c r="G14" s="73">
        <v>19415.5</v>
      </c>
      <c r="H14" s="73">
        <v>21251.4</v>
      </c>
      <c r="I14" s="73">
        <v>21768.400000000001</v>
      </c>
      <c r="J14" s="73">
        <v>21768.400000000001</v>
      </c>
      <c r="K14" s="73">
        <v>21768.400000000001</v>
      </c>
      <c r="L14" s="69">
        <f t="shared" si="1"/>
        <v>21768.400000000001</v>
      </c>
      <c r="M14" s="69">
        <f t="shared" si="2"/>
        <v>169934.19999999998</v>
      </c>
    </row>
    <row r="15" spans="1:13" ht="15.75" customHeight="1" x14ac:dyDescent="0.2">
      <c r="A15" s="41" t="s">
        <v>59</v>
      </c>
      <c r="B15" s="42" t="s">
        <v>28</v>
      </c>
      <c r="C15" s="67" t="s">
        <v>50</v>
      </c>
      <c r="D15" s="68">
        <f t="shared" ref="D15:I15" si="5">D17+D18+D19</f>
        <v>214621.9</v>
      </c>
      <c r="E15" s="68">
        <f t="shared" si="5"/>
        <v>231479.09999999998</v>
      </c>
      <c r="F15" s="68">
        <f t="shared" si="5"/>
        <v>252889.59999999998</v>
      </c>
      <c r="G15" s="69">
        <f t="shared" si="5"/>
        <v>262736.60000000003</v>
      </c>
      <c r="H15" s="69">
        <f t="shared" si="5"/>
        <v>275850</v>
      </c>
      <c r="I15" s="75">
        <f t="shared" si="5"/>
        <v>286762</v>
      </c>
      <c r="J15" s="69">
        <f>J17+J18+J19</f>
        <v>230247.6</v>
      </c>
      <c r="K15" s="69">
        <f>K17+K18+K19</f>
        <v>230247.6</v>
      </c>
      <c r="L15" s="69">
        <f t="shared" si="1"/>
        <v>230247.6</v>
      </c>
      <c r="M15" s="69">
        <f t="shared" si="2"/>
        <v>2215082</v>
      </c>
    </row>
    <row r="16" spans="1:13" ht="15.75" x14ac:dyDescent="0.2">
      <c r="A16" s="43"/>
      <c r="B16" s="44"/>
      <c r="C16" s="70" t="s">
        <v>51</v>
      </c>
      <c r="D16" s="71"/>
      <c r="E16" s="72"/>
      <c r="F16" s="72"/>
      <c r="G16" s="73"/>
      <c r="H16" s="73"/>
      <c r="I16" s="73"/>
      <c r="J16" s="73"/>
      <c r="K16" s="73"/>
      <c r="L16" s="69">
        <f t="shared" si="1"/>
        <v>0</v>
      </c>
      <c r="M16" s="69">
        <f t="shared" si="2"/>
        <v>0</v>
      </c>
    </row>
    <row r="17" spans="1:14" ht="15.75" x14ac:dyDescent="0.2">
      <c r="A17" s="43"/>
      <c r="B17" s="44"/>
      <c r="C17" s="67" t="s">
        <v>60</v>
      </c>
      <c r="D17" s="78">
        <v>109406.9</v>
      </c>
      <c r="E17" s="68">
        <v>113565.8</v>
      </c>
      <c r="F17" s="72">
        <v>149314.1</v>
      </c>
      <c r="G17" s="73">
        <v>163921.20000000001</v>
      </c>
      <c r="H17" s="73">
        <v>178896.1</v>
      </c>
      <c r="I17" s="73">
        <v>185610</v>
      </c>
      <c r="J17" s="73">
        <v>169172</v>
      </c>
      <c r="K17" s="73">
        <v>169172</v>
      </c>
      <c r="L17" s="69">
        <f t="shared" si="1"/>
        <v>169172</v>
      </c>
      <c r="M17" s="69">
        <f t="shared" si="2"/>
        <v>1408230.1</v>
      </c>
    </row>
    <row r="18" spans="1:14" ht="15.75" x14ac:dyDescent="0.2">
      <c r="A18" s="43"/>
      <c r="B18" s="44"/>
      <c r="C18" s="67" t="s">
        <v>61</v>
      </c>
      <c r="D18" s="78">
        <v>103390.39999999999</v>
      </c>
      <c r="E18" s="68">
        <v>115762</v>
      </c>
      <c r="F18" s="68">
        <v>101282.7</v>
      </c>
      <c r="G18" s="69">
        <v>96522.6</v>
      </c>
      <c r="H18" s="69">
        <v>93843.6</v>
      </c>
      <c r="I18" s="69">
        <v>98538.3</v>
      </c>
      <c r="J18" s="69">
        <v>58461.9</v>
      </c>
      <c r="K18" s="69">
        <f>J18</f>
        <v>58461.9</v>
      </c>
      <c r="L18" s="69">
        <f>K18</f>
        <v>58461.9</v>
      </c>
      <c r="M18" s="69">
        <f t="shared" si="2"/>
        <v>784725.3</v>
      </c>
    </row>
    <row r="19" spans="1:14" ht="15.75" x14ac:dyDescent="0.2">
      <c r="A19" s="76"/>
      <c r="B19" s="45"/>
      <c r="C19" s="67" t="s">
        <v>62</v>
      </c>
      <c r="D19" s="78">
        <v>1824.6</v>
      </c>
      <c r="E19" s="68">
        <v>2151.3000000000002</v>
      </c>
      <c r="F19" s="72">
        <v>2292.8000000000002</v>
      </c>
      <c r="G19" s="73">
        <v>2292.8000000000002</v>
      </c>
      <c r="H19" s="73">
        <v>3110.3</v>
      </c>
      <c r="I19" s="73">
        <v>2613.6999999999998</v>
      </c>
      <c r="J19" s="73">
        <v>2613.6999999999998</v>
      </c>
      <c r="K19" s="73">
        <v>2613.6999999999998</v>
      </c>
      <c r="L19" s="69">
        <f t="shared" si="1"/>
        <v>2613.6999999999998</v>
      </c>
      <c r="M19" s="69">
        <f t="shared" si="2"/>
        <v>22126.600000000002</v>
      </c>
    </row>
    <row r="20" spans="1:14" ht="15.75" customHeight="1" x14ac:dyDescent="0.2">
      <c r="A20" s="41" t="s">
        <v>29</v>
      </c>
      <c r="B20" s="42" t="s">
        <v>30</v>
      </c>
      <c r="C20" s="67" t="s">
        <v>50</v>
      </c>
      <c r="D20" s="68">
        <f t="shared" ref="D20:I20" si="6">D22+D23+D24</f>
        <v>6990.7000000000007</v>
      </c>
      <c r="E20" s="68">
        <f t="shared" si="6"/>
        <v>7764.9</v>
      </c>
      <c r="F20" s="68">
        <f t="shared" si="6"/>
        <v>7414.4</v>
      </c>
      <c r="G20" s="69">
        <f t="shared" si="6"/>
        <v>8058.2999999999993</v>
      </c>
      <c r="H20" s="69">
        <f>H22+H23+H24</f>
        <v>7980.7999999999993</v>
      </c>
      <c r="I20" s="69">
        <f t="shared" si="6"/>
        <v>8572.2999999999993</v>
      </c>
      <c r="J20" s="69">
        <f>J22+J23+J24</f>
        <v>8572.2999999999993</v>
      </c>
      <c r="K20" s="69">
        <f>K22+K23+K24</f>
        <v>8572.2999999999993</v>
      </c>
      <c r="L20" s="69">
        <f t="shared" si="1"/>
        <v>8572.2999999999993</v>
      </c>
      <c r="M20" s="69">
        <f t="shared" si="2"/>
        <v>72498.3</v>
      </c>
    </row>
    <row r="21" spans="1:14" ht="15.75" x14ac:dyDescent="0.2">
      <c r="A21" s="43"/>
      <c r="B21" s="44"/>
      <c r="C21" s="70" t="s">
        <v>51</v>
      </c>
      <c r="D21" s="78"/>
      <c r="E21" s="68"/>
      <c r="F21" s="72"/>
      <c r="G21" s="73"/>
      <c r="H21" s="73"/>
      <c r="I21" s="73"/>
      <c r="J21" s="73"/>
      <c r="K21" s="73"/>
      <c r="L21" s="69">
        <f t="shared" si="1"/>
        <v>0</v>
      </c>
      <c r="M21" s="69">
        <f t="shared" si="2"/>
        <v>0</v>
      </c>
    </row>
    <row r="22" spans="1:14" ht="15.75" x14ac:dyDescent="0.2">
      <c r="A22" s="43"/>
      <c r="B22" s="44"/>
      <c r="C22" s="74" t="s">
        <v>52</v>
      </c>
      <c r="D22" s="78">
        <v>4599.6000000000004</v>
      </c>
      <c r="E22" s="68">
        <v>4788.3999999999996</v>
      </c>
      <c r="F22" s="72">
        <v>4560.6000000000004</v>
      </c>
      <c r="G22" s="73">
        <v>4565.7</v>
      </c>
      <c r="H22" s="73">
        <v>5116.3999999999996</v>
      </c>
      <c r="I22" s="73">
        <v>5436.9</v>
      </c>
      <c r="J22" s="73">
        <v>5436.9</v>
      </c>
      <c r="K22" s="73">
        <v>5436.9</v>
      </c>
      <c r="L22" s="69">
        <f t="shared" si="1"/>
        <v>5436.9</v>
      </c>
      <c r="M22" s="69">
        <f t="shared" si="2"/>
        <v>45378.3</v>
      </c>
    </row>
    <row r="23" spans="1:14" ht="15.75" x14ac:dyDescent="0.2">
      <c r="A23" s="43"/>
      <c r="B23" s="44"/>
      <c r="C23" s="74" t="s">
        <v>53</v>
      </c>
      <c r="D23" s="78">
        <v>1858.1</v>
      </c>
      <c r="E23" s="68">
        <v>2271.3000000000002</v>
      </c>
      <c r="F23" s="68">
        <v>2162.4</v>
      </c>
      <c r="G23" s="69">
        <v>2801.2</v>
      </c>
      <c r="H23" s="69">
        <v>2173</v>
      </c>
      <c r="I23" s="69">
        <v>2354.1999999999998</v>
      </c>
      <c r="J23" s="69">
        <v>2354.1999999999998</v>
      </c>
      <c r="K23" s="69">
        <v>2354.1999999999998</v>
      </c>
      <c r="L23" s="69">
        <f t="shared" si="1"/>
        <v>2354.1999999999998</v>
      </c>
      <c r="M23" s="69">
        <f t="shared" si="2"/>
        <v>20682.800000000003</v>
      </c>
    </row>
    <row r="24" spans="1:14" ht="31.5" x14ac:dyDescent="0.2">
      <c r="A24" s="76"/>
      <c r="B24" s="45"/>
      <c r="C24" s="74" t="s">
        <v>54</v>
      </c>
      <c r="D24" s="78">
        <v>533</v>
      </c>
      <c r="E24" s="68">
        <v>705.2</v>
      </c>
      <c r="F24" s="72">
        <v>691.4</v>
      </c>
      <c r="G24" s="73">
        <v>691.4</v>
      </c>
      <c r="H24" s="73">
        <v>691.4</v>
      </c>
      <c r="I24" s="73">
        <v>781.2</v>
      </c>
      <c r="J24" s="73">
        <v>781.2</v>
      </c>
      <c r="K24" s="73">
        <v>781.2</v>
      </c>
      <c r="L24" s="69">
        <f t="shared" si="1"/>
        <v>781.2</v>
      </c>
      <c r="M24" s="69">
        <f t="shared" si="2"/>
        <v>6437.2</v>
      </c>
    </row>
    <row r="25" spans="1:14" ht="15.75" customHeight="1" x14ac:dyDescent="0.2">
      <c r="A25" s="41" t="s">
        <v>31</v>
      </c>
      <c r="B25" s="42" t="s">
        <v>32</v>
      </c>
      <c r="C25" s="67" t="s">
        <v>50</v>
      </c>
      <c r="D25" s="68">
        <f t="shared" ref="D25:I25" si="7">D27+D28+D29</f>
        <v>28125.4</v>
      </c>
      <c r="E25" s="68">
        <f t="shared" si="7"/>
        <v>29557</v>
      </c>
      <c r="F25" s="68">
        <f t="shared" si="7"/>
        <v>32395.199999999997</v>
      </c>
      <c r="G25" s="69">
        <f t="shared" si="7"/>
        <v>33800</v>
      </c>
      <c r="H25" s="69">
        <f t="shared" si="7"/>
        <v>36181.300000000003</v>
      </c>
      <c r="I25" s="75">
        <f t="shared" si="7"/>
        <v>44316.6</v>
      </c>
      <c r="J25" s="69">
        <f>J27+J28+J29</f>
        <v>42406.2</v>
      </c>
      <c r="K25" s="69">
        <f>K27+K28+K29</f>
        <v>42406.2</v>
      </c>
      <c r="L25" s="69">
        <f t="shared" si="1"/>
        <v>42406.2</v>
      </c>
      <c r="M25" s="69">
        <f t="shared" si="2"/>
        <v>331594.10000000003</v>
      </c>
    </row>
    <row r="26" spans="1:14" ht="15.75" x14ac:dyDescent="0.2">
      <c r="A26" s="43"/>
      <c r="B26" s="44"/>
      <c r="C26" s="70" t="s">
        <v>51</v>
      </c>
      <c r="D26" s="78"/>
      <c r="E26" s="68"/>
      <c r="F26" s="72"/>
      <c r="G26" s="73"/>
      <c r="H26" s="73"/>
      <c r="I26" s="73"/>
      <c r="J26" s="73"/>
      <c r="K26" s="73"/>
      <c r="L26" s="69">
        <f t="shared" si="1"/>
        <v>0</v>
      </c>
      <c r="M26" s="69">
        <f t="shared" si="2"/>
        <v>0</v>
      </c>
    </row>
    <row r="27" spans="1:14" ht="15.75" x14ac:dyDescent="0.2">
      <c r="A27" s="43"/>
      <c r="B27" s="44"/>
      <c r="C27" s="74" t="s">
        <v>52</v>
      </c>
      <c r="D27" s="78">
        <v>8588.7000000000007</v>
      </c>
      <c r="E27" s="68">
        <v>8527.5</v>
      </c>
      <c r="F27" s="72">
        <v>10590.4</v>
      </c>
      <c r="G27" s="73">
        <v>10286.6</v>
      </c>
      <c r="H27" s="73">
        <v>12950.5</v>
      </c>
      <c r="I27" s="73">
        <v>12440.3</v>
      </c>
      <c r="J27" s="73">
        <v>3526.2</v>
      </c>
      <c r="K27" s="73">
        <v>3526.2</v>
      </c>
      <c r="L27" s="69">
        <f t="shared" si="1"/>
        <v>3526.2</v>
      </c>
      <c r="M27" s="69">
        <f t="shared" si="2"/>
        <v>73962.599999999991</v>
      </c>
    </row>
    <row r="28" spans="1:14" ht="15.75" x14ac:dyDescent="0.2">
      <c r="A28" s="43"/>
      <c r="B28" s="44"/>
      <c r="C28" s="74" t="s">
        <v>53</v>
      </c>
      <c r="D28" s="78">
        <v>19536.7</v>
      </c>
      <c r="E28" s="68">
        <v>21029.5</v>
      </c>
      <c r="F28" s="68">
        <v>21804.799999999999</v>
      </c>
      <c r="G28" s="69">
        <v>23513.4</v>
      </c>
      <c r="H28" s="69">
        <v>23230.799999999999</v>
      </c>
      <c r="I28" s="69">
        <v>31876.3</v>
      </c>
      <c r="J28" s="69">
        <v>38880</v>
      </c>
      <c r="K28" s="69">
        <f>J28</f>
        <v>38880</v>
      </c>
      <c r="L28" s="69">
        <f t="shared" si="1"/>
        <v>38880</v>
      </c>
      <c r="M28" s="69">
        <f t="shared" si="2"/>
        <v>257631.5</v>
      </c>
    </row>
    <row r="29" spans="1:14" ht="15" customHeight="1" x14ac:dyDescent="0.2">
      <c r="A29" s="76"/>
      <c r="B29" s="45"/>
      <c r="C29" s="74" t="s">
        <v>54</v>
      </c>
      <c r="D29" s="78">
        <v>0</v>
      </c>
      <c r="E29" s="68">
        <v>0</v>
      </c>
      <c r="F29" s="72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69">
        <f t="shared" si="1"/>
        <v>0</v>
      </c>
      <c r="M29" s="69">
        <f t="shared" si="2"/>
        <v>0</v>
      </c>
    </row>
    <row r="30" spans="1:14" s="54" customFormat="1" ht="30.75" customHeight="1" x14ac:dyDescent="0.25">
      <c r="A30" s="79" t="s">
        <v>33</v>
      </c>
      <c r="B30" s="79"/>
      <c r="C30" s="80"/>
      <c r="D30" s="80"/>
      <c r="E30" s="81"/>
      <c r="F30" s="82"/>
      <c r="G30" s="83" t="s">
        <v>34</v>
      </c>
      <c r="H30" s="83"/>
      <c r="I30" s="83"/>
      <c r="J30" s="83"/>
      <c r="K30" s="83"/>
      <c r="L30" s="83"/>
      <c r="M30" s="83"/>
      <c r="N30" s="84"/>
    </row>
    <row r="135" spans="16:16" ht="105" customHeight="1" x14ac:dyDescent="0.25">
      <c r="P135" s="54"/>
    </row>
  </sheetData>
  <mergeCells count="17">
    <mergeCell ref="A20:A24"/>
    <mergeCell ref="B20:B24"/>
    <mergeCell ref="A25:A29"/>
    <mergeCell ref="B25:B29"/>
    <mergeCell ref="G30:M30"/>
    <mergeCell ref="A5:A9"/>
    <mergeCell ref="B5:B9"/>
    <mergeCell ref="A10:A14"/>
    <mergeCell ref="B10:B14"/>
    <mergeCell ref="A15:A19"/>
    <mergeCell ref="B15:B19"/>
    <mergeCell ref="I1:M1"/>
    <mergeCell ref="A2:M2"/>
    <mergeCell ref="A3:A4"/>
    <mergeCell ref="B3:B4"/>
    <mergeCell ref="C3:C4"/>
    <mergeCell ref="D3:M3"/>
  </mergeCells>
  <printOptions horizontalCentered="1"/>
  <pageMargins left="0.15748031496062992" right="0.15748031496062992" top="0.78740157480314965" bottom="0" header="0.31496062992125984" footer="0.31496062992125984"/>
  <pageSetup paperSize="9" scale="63" orientation="landscape" useFirstPageNumber="1" r:id="rId1"/>
  <headerFooter differentFirst="1">
    <oddHeader>&amp;C&amp;P</oddHeader>
  </headerFooter>
  <rowBreaks count="1" manualBreakCount="1">
    <brk id="1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5"/>
  <sheetViews>
    <sheetView view="pageBreakPreview" zoomScaleNormal="100" zoomScaleSheetLayoutView="100" workbookViewId="0">
      <selection activeCell="K16" sqref="K16"/>
    </sheetView>
  </sheetViews>
  <sheetFormatPr defaultRowHeight="15.75" x14ac:dyDescent="0.25"/>
  <cols>
    <col min="1" max="1" width="46.42578125" style="1" customWidth="1"/>
    <col min="2" max="2" width="9.140625" style="1" customWidth="1"/>
    <col min="3" max="8" width="9.140625" style="1"/>
    <col min="9" max="9" width="10.28515625" style="1" customWidth="1"/>
    <col min="10" max="10" width="9.5703125" style="1" bestFit="1" customWidth="1"/>
    <col min="11" max="11" width="10.140625" style="1" customWidth="1"/>
    <col min="12" max="12" width="10.7109375" style="1" bestFit="1" customWidth="1"/>
    <col min="13" max="13" width="10.7109375" style="1" customWidth="1"/>
    <col min="14" max="14" width="10.7109375" style="54" customWidth="1"/>
    <col min="15" max="15" width="10.7109375" style="1" bestFit="1" customWidth="1"/>
    <col min="16" max="16" width="10.7109375" style="1" customWidth="1"/>
    <col min="17" max="17" width="11" style="1" customWidth="1"/>
    <col min="18" max="16384" width="9.140625" style="1"/>
  </cols>
  <sheetData>
    <row r="1" spans="1:17" ht="71.25" customHeight="1" x14ac:dyDescent="0.25">
      <c r="I1" s="85" t="s">
        <v>63</v>
      </c>
      <c r="J1" s="85"/>
      <c r="K1" s="85"/>
      <c r="L1" s="85"/>
      <c r="M1" s="85"/>
      <c r="N1" s="85"/>
      <c r="O1" s="85"/>
      <c r="P1" s="85"/>
    </row>
    <row r="2" spans="1:17" s="86" customFormat="1" ht="34.5" customHeight="1" x14ac:dyDescent="0.2">
      <c r="A2" s="6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35.25" customHeight="1" x14ac:dyDescent="0.25">
      <c r="A3" s="7" t="s">
        <v>65</v>
      </c>
      <c r="B3" s="7" t="s">
        <v>66</v>
      </c>
      <c r="C3" s="7"/>
      <c r="D3" s="7"/>
      <c r="E3" s="7"/>
      <c r="F3" s="7"/>
      <c r="G3" s="7"/>
      <c r="H3" s="7"/>
      <c r="I3" s="87" t="s">
        <v>67</v>
      </c>
      <c r="J3" s="88"/>
      <c r="K3" s="88"/>
      <c r="L3" s="88"/>
      <c r="M3" s="88"/>
      <c r="N3" s="88"/>
      <c r="O3" s="88"/>
      <c r="P3" s="88"/>
      <c r="Q3" s="88"/>
    </row>
    <row r="4" spans="1:17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2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  <c r="O4" s="11" t="s">
        <v>47</v>
      </c>
      <c r="P4" s="11" t="s">
        <v>48</v>
      </c>
      <c r="Q4" s="13" t="s">
        <v>49</v>
      </c>
    </row>
    <row r="5" spans="1:17" x14ac:dyDescent="0.25">
      <c r="A5" s="89" t="s">
        <v>68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</row>
    <row r="6" spans="1:17" x14ac:dyDescent="0.25">
      <c r="A6" s="22" t="s">
        <v>69</v>
      </c>
      <c r="B6" s="92" t="s">
        <v>70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4"/>
    </row>
    <row r="7" spans="1:17" x14ac:dyDescent="0.25">
      <c r="A7" s="95" t="s">
        <v>71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1:17" ht="31.5" x14ac:dyDescent="0.25">
      <c r="A8" s="31" t="s">
        <v>72</v>
      </c>
      <c r="B8" s="35">
        <v>1264</v>
      </c>
      <c r="C8" s="35">
        <v>1687</v>
      </c>
      <c r="D8" s="35">
        <v>1731</v>
      </c>
      <c r="E8" s="35">
        <v>1673</v>
      </c>
      <c r="F8" s="35">
        <v>1753</v>
      </c>
      <c r="G8" s="35">
        <v>1753</v>
      </c>
      <c r="H8" s="35">
        <v>1753</v>
      </c>
      <c r="I8" s="98">
        <v>110039.9</v>
      </c>
      <c r="J8" s="35">
        <v>115982.1</v>
      </c>
      <c r="K8" s="98">
        <v>189224.3</v>
      </c>
      <c r="L8" s="98">
        <f>165397.3+24524.8</f>
        <v>189922.09999999998</v>
      </c>
      <c r="M8" s="98">
        <v>229336.9</v>
      </c>
      <c r="N8" s="99">
        <v>265133.40000000002</v>
      </c>
      <c r="O8" s="98">
        <v>218059.1</v>
      </c>
      <c r="P8" s="98">
        <v>218059.1</v>
      </c>
      <c r="Q8" s="98">
        <v>218059.1</v>
      </c>
    </row>
    <row r="9" spans="1:17" x14ac:dyDescent="0.25">
      <c r="A9" s="89" t="s">
        <v>73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1"/>
    </row>
    <row r="10" spans="1:17" x14ac:dyDescent="0.25">
      <c r="A10" s="22" t="s">
        <v>69</v>
      </c>
      <c r="B10" s="92" t="s">
        <v>74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</row>
    <row r="11" spans="1:17" x14ac:dyDescent="0.25">
      <c r="A11" s="95" t="s">
        <v>75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1:17" ht="31.5" x14ac:dyDescent="0.25">
      <c r="A12" s="31" t="s">
        <v>72</v>
      </c>
      <c r="B12" s="35">
        <v>1265</v>
      </c>
      <c r="C12" s="35">
        <v>1233</v>
      </c>
      <c r="D12" s="35">
        <v>1194</v>
      </c>
      <c r="E12" s="35">
        <v>1267</v>
      </c>
      <c r="F12" s="35">
        <v>1351</v>
      </c>
      <c r="G12" s="35">
        <v>1351</v>
      </c>
      <c r="H12" s="35">
        <v>1351</v>
      </c>
      <c r="I12" s="35">
        <v>58719.245999999999</v>
      </c>
      <c r="J12" s="35">
        <v>61890.1</v>
      </c>
      <c r="K12" s="98">
        <v>56463.8</v>
      </c>
      <c r="L12" s="98">
        <v>108873.3</v>
      </c>
      <c r="M12" s="98">
        <f>70.55*F12</f>
        <v>95313.05</v>
      </c>
      <c r="N12" s="98">
        <f>71.536*1351</f>
        <v>96645.135999999999</v>
      </c>
      <c r="O12" s="98">
        <f>64.5176*H12</f>
        <v>87163.277600000001</v>
      </c>
      <c r="P12" s="98">
        <f>O12</f>
        <v>87163.277600000001</v>
      </c>
      <c r="Q12" s="98">
        <f>P12</f>
        <v>87163.277600000001</v>
      </c>
    </row>
    <row r="13" spans="1:17" x14ac:dyDescent="0.25">
      <c r="A13" s="89" t="s">
        <v>76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</row>
    <row r="14" spans="1:17" x14ac:dyDescent="0.25">
      <c r="A14" s="22" t="s">
        <v>69</v>
      </c>
      <c r="B14" s="92" t="s">
        <v>77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7" x14ac:dyDescent="0.25">
      <c r="A15" s="95" t="s">
        <v>75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7"/>
    </row>
    <row r="16" spans="1:17" ht="31.5" x14ac:dyDescent="0.25">
      <c r="A16" s="31" t="s">
        <v>72</v>
      </c>
      <c r="B16" s="12">
        <v>1284</v>
      </c>
      <c r="C16" s="12">
        <v>1377</v>
      </c>
      <c r="D16" s="12">
        <v>1433</v>
      </c>
      <c r="E16" s="12">
        <v>1086</v>
      </c>
      <c r="F16" s="12">
        <v>1419</v>
      </c>
      <c r="G16" s="12">
        <v>1419</v>
      </c>
      <c r="H16" s="12">
        <v>1419</v>
      </c>
      <c r="I16" s="98">
        <v>59652</v>
      </c>
      <c r="J16" s="35">
        <v>62873.2</v>
      </c>
      <c r="K16" s="35">
        <v>82739.399999999994</v>
      </c>
      <c r="L16" s="98">
        <v>93320</v>
      </c>
      <c r="M16" s="98">
        <f>70.55*F16</f>
        <v>100110.45</v>
      </c>
      <c r="N16" s="98">
        <f>71.536*1419</f>
        <v>101509.584</v>
      </c>
      <c r="O16" s="35">
        <f>64.5176*H16</f>
        <v>91550.474400000006</v>
      </c>
      <c r="P16" s="35">
        <f>O16</f>
        <v>91550.474400000006</v>
      </c>
      <c r="Q16" s="35">
        <f>P16</f>
        <v>91550.474400000006</v>
      </c>
    </row>
    <row r="17" spans="1:17" x14ac:dyDescent="0.25">
      <c r="A17" s="89" t="s">
        <v>78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1"/>
    </row>
    <row r="18" spans="1:17" x14ac:dyDescent="0.25">
      <c r="A18" s="22" t="s">
        <v>69</v>
      </c>
      <c r="B18" s="92" t="s">
        <v>79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4"/>
    </row>
    <row r="19" spans="1:17" x14ac:dyDescent="0.25">
      <c r="A19" s="95" t="s">
        <v>75</v>
      </c>
      <c r="B19" s="96">
        <v>338</v>
      </c>
      <c r="C19" s="96">
        <v>309</v>
      </c>
      <c r="D19" s="96">
        <v>277</v>
      </c>
      <c r="E19" s="96">
        <v>270</v>
      </c>
      <c r="F19" s="96">
        <v>388</v>
      </c>
      <c r="G19" s="96">
        <v>388</v>
      </c>
      <c r="H19" s="96">
        <v>388</v>
      </c>
      <c r="I19" s="96">
        <v>14085.156999999999</v>
      </c>
      <c r="J19" s="96">
        <v>14845.7</v>
      </c>
      <c r="K19" s="96">
        <v>16243.5</v>
      </c>
      <c r="L19" s="96">
        <f>23201.1-13.98</f>
        <v>23187.119999999999</v>
      </c>
      <c r="M19" s="96">
        <f>70.55*F19-3.5</f>
        <v>27369.899999999998</v>
      </c>
      <c r="N19" s="96">
        <f>66.55*G19+49.5</f>
        <v>25870.899999999998</v>
      </c>
      <c r="O19" s="96">
        <f>N19</f>
        <v>25870.899999999998</v>
      </c>
      <c r="P19" s="97">
        <f>O19</f>
        <v>25870.899999999998</v>
      </c>
    </row>
    <row r="20" spans="1:17" ht="31.5" x14ac:dyDescent="0.25">
      <c r="A20" s="31" t="s">
        <v>72</v>
      </c>
      <c r="B20" s="35">
        <v>338</v>
      </c>
      <c r="C20" s="35">
        <v>309</v>
      </c>
      <c r="D20" s="35">
        <v>277</v>
      </c>
      <c r="E20" s="35">
        <v>270</v>
      </c>
      <c r="F20" s="35">
        <v>388</v>
      </c>
      <c r="G20" s="35">
        <v>388</v>
      </c>
      <c r="H20" s="35">
        <v>388</v>
      </c>
      <c r="I20" s="35">
        <v>14085.156999999999</v>
      </c>
      <c r="J20" s="35">
        <v>14845.7</v>
      </c>
      <c r="K20" s="98">
        <v>16243.5</v>
      </c>
      <c r="L20" s="98">
        <f>23201.1-13.98</f>
        <v>23187.119999999999</v>
      </c>
      <c r="M20" s="98">
        <f>70.55*F20-3.5</f>
        <v>27369.899999999998</v>
      </c>
      <c r="N20" s="98">
        <f>71.536*388+1</f>
        <v>27756.968000000001</v>
      </c>
      <c r="O20" s="35">
        <f>64.5176*H20</f>
        <v>25032.828799999999</v>
      </c>
      <c r="P20" s="35">
        <f>O20</f>
        <v>25032.828799999999</v>
      </c>
      <c r="Q20" s="35">
        <f>P20</f>
        <v>25032.828799999999</v>
      </c>
    </row>
    <row r="21" spans="1:17" x14ac:dyDescent="0.25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</row>
    <row r="22" spans="1:17" x14ac:dyDescent="0.25">
      <c r="A22" s="22" t="s">
        <v>69</v>
      </c>
      <c r="B22" s="92" t="s">
        <v>80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4"/>
    </row>
    <row r="23" spans="1:17" x14ac:dyDescent="0.25">
      <c r="A23" s="95" t="s">
        <v>81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7"/>
    </row>
    <row r="24" spans="1:17" ht="31.5" x14ac:dyDescent="0.25">
      <c r="A24" s="31" t="s">
        <v>72</v>
      </c>
      <c r="B24" s="35">
        <v>2859</v>
      </c>
      <c r="C24" s="35">
        <v>2860</v>
      </c>
      <c r="D24" s="35">
        <v>2850</v>
      </c>
      <c r="E24" s="35">
        <v>2783</v>
      </c>
      <c r="F24" s="35">
        <v>2783</v>
      </c>
      <c r="G24" s="35">
        <v>2783</v>
      </c>
      <c r="H24" s="35">
        <v>2783</v>
      </c>
      <c r="I24" s="98">
        <v>6990.7</v>
      </c>
      <c r="J24" s="35">
        <v>7764.9</v>
      </c>
      <c r="K24" s="35">
        <v>7414.4</v>
      </c>
      <c r="L24" s="35">
        <v>7366.9</v>
      </c>
      <c r="M24" s="35">
        <v>7980.8</v>
      </c>
      <c r="N24" s="100">
        <v>8572.2999999999993</v>
      </c>
      <c r="O24" s="35">
        <v>8572.2999999999993</v>
      </c>
      <c r="P24" s="35">
        <v>8572.2999999999993</v>
      </c>
      <c r="Q24" s="35">
        <v>8572.2999999999993</v>
      </c>
    </row>
    <row r="25" spans="1:17" x14ac:dyDescent="0.25">
      <c r="A25" s="89" t="s">
        <v>82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</row>
    <row r="26" spans="1:17" x14ac:dyDescent="0.25">
      <c r="A26" s="22" t="s">
        <v>69</v>
      </c>
      <c r="B26" s="92" t="s">
        <v>83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4"/>
    </row>
    <row r="27" spans="1:17" x14ac:dyDescent="0.25">
      <c r="A27" s="95" t="s">
        <v>75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7" ht="31.5" x14ac:dyDescent="0.25">
      <c r="A28" s="31" t="s">
        <v>72</v>
      </c>
      <c r="B28" s="101">
        <v>1760</v>
      </c>
      <c r="C28" s="101">
        <v>1718</v>
      </c>
      <c r="D28" s="101">
        <v>1663</v>
      </c>
      <c r="E28" s="101">
        <v>1639</v>
      </c>
      <c r="F28" s="101">
        <v>1639</v>
      </c>
      <c r="G28" s="101">
        <v>1639</v>
      </c>
      <c r="H28" s="101">
        <v>1639</v>
      </c>
      <c r="I28" s="101">
        <v>20067.3</v>
      </c>
      <c r="J28" s="101">
        <v>21150.9</v>
      </c>
      <c r="K28" s="102">
        <v>35773.199999999997</v>
      </c>
      <c r="L28" s="102">
        <v>26419.7</v>
      </c>
      <c r="M28" s="102">
        <v>32389.599999999999</v>
      </c>
      <c r="N28" s="103">
        <v>33351.5</v>
      </c>
      <c r="O28" s="101">
        <v>26500.7</v>
      </c>
      <c r="P28" s="101">
        <f>O28</f>
        <v>26500.7</v>
      </c>
      <c r="Q28" s="101">
        <f>P28</f>
        <v>26500.7</v>
      </c>
    </row>
    <row r="29" spans="1:17" x14ac:dyDescent="0.25">
      <c r="A29" s="89" t="s">
        <v>84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1"/>
    </row>
    <row r="30" spans="1:17" x14ac:dyDescent="0.25">
      <c r="A30" s="22" t="s">
        <v>69</v>
      </c>
      <c r="B30" s="92" t="s">
        <v>85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4"/>
    </row>
    <row r="31" spans="1:17" x14ac:dyDescent="0.25">
      <c r="A31" s="95" t="s">
        <v>75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7"/>
    </row>
    <row r="32" spans="1:17" ht="31.5" x14ac:dyDescent="0.25">
      <c r="A32" s="31" t="s">
        <v>72</v>
      </c>
      <c r="B32" s="35">
        <v>272</v>
      </c>
      <c r="C32" s="35">
        <v>272</v>
      </c>
      <c r="D32" s="35">
        <v>272</v>
      </c>
      <c r="E32" s="35">
        <v>509</v>
      </c>
      <c r="F32" s="35">
        <v>520</v>
      </c>
      <c r="G32" s="35">
        <v>520</v>
      </c>
      <c r="H32" s="35">
        <v>520</v>
      </c>
      <c r="I32" s="98">
        <v>1840.2</v>
      </c>
      <c r="J32" s="98">
        <v>1939.6</v>
      </c>
      <c r="K32" s="98">
        <v>760.7</v>
      </c>
      <c r="L32" s="98">
        <f>415+1197.4</f>
        <v>1612.4</v>
      </c>
      <c r="M32" s="98">
        <f>444+1240.7</f>
        <v>1684.7</v>
      </c>
      <c r="N32" s="98">
        <f>444+1240.7</f>
        <v>1684.7</v>
      </c>
      <c r="O32" s="98">
        <f>444+1240.7</f>
        <v>1684.7</v>
      </c>
      <c r="P32" s="98">
        <f>444+1240.7</f>
        <v>1684.7</v>
      </c>
      <c r="Q32" s="98">
        <f>444+1240.7</f>
        <v>1684.7</v>
      </c>
    </row>
    <row r="34" spans="1:15" x14ac:dyDescent="0.25">
      <c r="N34" s="104"/>
      <c r="O34" s="105"/>
    </row>
    <row r="35" spans="1:15" x14ac:dyDescent="0.25">
      <c r="A35" s="1" t="s">
        <v>33</v>
      </c>
      <c r="K35" s="106" t="s">
        <v>34</v>
      </c>
      <c r="L35" s="106"/>
      <c r="M35" s="106"/>
      <c r="N35" s="106"/>
      <c r="O35" s="106"/>
    </row>
  </sheetData>
  <mergeCells count="27">
    <mergeCell ref="B30:P30"/>
    <mergeCell ref="A31:P31"/>
    <mergeCell ref="K35:O35"/>
    <mergeCell ref="B22:P22"/>
    <mergeCell ref="A23:P23"/>
    <mergeCell ref="A25:P25"/>
    <mergeCell ref="B26:P26"/>
    <mergeCell ref="A27:P27"/>
    <mergeCell ref="A29:P29"/>
    <mergeCell ref="B14:P14"/>
    <mergeCell ref="A15:P15"/>
    <mergeCell ref="A17:P17"/>
    <mergeCell ref="B18:P18"/>
    <mergeCell ref="A19:P19"/>
    <mergeCell ref="A21:P21"/>
    <mergeCell ref="B6:P6"/>
    <mergeCell ref="A7:P7"/>
    <mergeCell ref="A9:P9"/>
    <mergeCell ref="B10:P10"/>
    <mergeCell ref="A11:P11"/>
    <mergeCell ref="A13:P13"/>
    <mergeCell ref="I1:P1"/>
    <mergeCell ref="A2:P2"/>
    <mergeCell ref="A3:A4"/>
    <mergeCell ref="B3:H3"/>
    <mergeCell ref="I3:Q3"/>
    <mergeCell ref="A5:P5"/>
  </mergeCells>
  <pageMargins left="0.51181102362204722" right="0.51181102362204722" top="0.55118110236220474" bottom="0.35433070866141736" header="0.31496062992125984" footer="0.31496062992125984"/>
  <pageSetup paperSize="9" scale="64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6"/>
  <sheetViews>
    <sheetView view="pageBreakPreview" zoomScale="80" zoomScaleNormal="100" zoomScaleSheetLayoutView="80" workbookViewId="0">
      <pane xSplit="2" ySplit="6" topLeftCell="C40" activePane="bottomRight" state="frozen"/>
      <selection activeCell="A45" sqref="A45:N45"/>
      <selection pane="topRight" activeCell="A45" sqref="A45:N45"/>
      <selection pane="bottomLeft" activeCell="A45" sqref="A45:N45"/>
      <selection pane="bottomRight" activeCell="A47" sqref="A47:N47"/>
    </sheetView>
  </sheetViews>
  <sheetFormatPr defaultRowHeight="15.75" x14ac:dyDescent="0.25"/>
  <cols>
    <col min="1" max="1" width="7.5703125" style="161" customWidth="1"/>
    <col min="2" max="2" width="79.140625" style="54" customWidth="1"/>
    <col min="3" max="3" width="12" style="54" customWidth="1"/>
    <col min="4" max="4" width="11.85546875" style="54" customWidth="1"/>
    <col min="5" max="5" width="26.140625" style="54" customWidth="1"/>
    <col min="6" max="6" width="11.42578125" style="54" hidden="1" customWidth="1"/>
    <col min="7" max="13" width="10.7109375" style="54" customWidth="1"/>
    <col min="14" max="14" width="10.7109375" style="111" customWidth="1"/>
    <col min="15" max="16384" width="9.140625" style="54"/>
  </cols>
  <sheetData>
    <row r="1" spans="1:14" ht="65.25" customHeight="1" x14ac:dyDescent="0.25">
      <c r="A1" s="107"/>
      <c r="B1" s="108"/>
      <c r="C1" s="109"/>
      <c r="D1" s="108"/>
      <c r="E1" s="108"/>
      <c r="G1" s="110" t="s">
        <v>86</v>
      </c>
      <c r="H1" s="110"/>
      <c r="I1" s="110"/>
      <c r="J1" s="110"/>
      <c r="K1" s="110"/>
      <c r="L1" s="110"/>
      <c r="M1" s="110"/>
    </row>
    <row r="2" spans="1:14" ht="37.5" customHeight="1" x14ac:dyDescent="0.25">
      <c r="A2" s="112" t="s">
        <v>87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4" x14ac:dyDescent="0.25">
      <c r="A3" s="113" t="s">
        <v>88</v>
      </c>
      <c r="B3" s="114" t="s">
        <v>89</v>
      </c>
      <c r="C3" s="114" t="s">
        <v>90</v>
      </c>
      <c r="D3" s="114" t="s">
        <v>91</v>
      </c>
      <c r="E3" s="114" t="s">
        <v>92</v>
      </c>
      <c r="F3" s="51" t="s">
        <v>93</v>
      </c>
      <c r="G3" s="51" t="s">
        <v>41</v>
      </c>
      <c r="H3" s="51" t="s">
        <v>42</v>
      </c>
      <c r="I3" s="51" t="s">
        <v>43</v>
      </c>
      <c r="J3" s="51" t="s">
        <v>44</v>
      </c>
      <c r="K3" s="51" t="s">
        <v>45</v>
      </c>
      <c r="L3" s="51" t="s">
        <v>46</v>
      </c>
      <c r="M3" s="51" t="s">
        <v>47</v>
      </c>
      <c r="N3" s="51" t="s">
        <v>48</v>
      </c>
    </row>
    <row r="4" spans="1:14" x14ac:dyDescent="0.25">
      <c r="A4" s="113"/>
      <c r="B4" s="114"/>
      <c r="C4" s="114"/>
      <c r="D4" s="114"/>
      <c r="E4" s="114"/>
      <c r="F4" s="51"/>
      <c r="G4" s="51"/>
      <c r="H4" s="51"/>
      <c r="I4" s="51"/>
      <c r="J4" s="51"/>
      <c r="K4" s="51"/>
      <c r="L4" s="51"/>
      <c r="M4" s="51"/>
      <c r="N4" s="51"/>
    </row>
    <row r="5" spans="1:14" x14ac:dyDescent="0.25">
      <c r="A5" s="113"/>
      <c r="B5" s="114"/>
      <c r="C5" s="114"/>
      <c r="D5" s="114"/>
      <c r="E5" s="114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5">
      <c r="A6" s="114" t="s">
        <v>94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ht="47.25" x14ac:dyDescent="0.25">
      <c r="A7" s="36">
        <v>1</v>
      </c>
      <c r="B7" s="115" t="s">
        <v>95</v>
      </c>
      <c r="C7" s="35" t="s">
        <v>96</v>
      </c>
      <c r="D7" s="116" t="s">
        <v>97</v>
      </c>
      <c r="E7" s="117" t="s">
        <v>98</v>
      </c>
      <c r="F7" s="118"/>
      <c r="G7" s="119">
        <v>95</v>
      </c>
      <c r="H7" s="119">
        <v>95</v>
      </c>
      <c r="I7" s="119">
        <v>96</v>
      </c>
      <c r="J7" s="119">
        <v>96</v>
      </c>
      <c r="K7" s="119">
        <v>96</v>
      </c>
      <c r="L7" s="119">
        <v>96</v>
      </c>
      <c r="M7" s="119">
        <v>96</v>
      </c>
      <c r="N7" s="119">
        <v>96</v>
      </c>
    </row>
    <row r="8" spans="1:14" ht="63" x14ac:dyDescent="0.25">
      <c r="A8" s="36" t="s">
        <v>99</v>
      </c>
      <c r="B8" s="115" t="s">
        <v>100</v>
      </c>
      <c r="C8" s="35" t="s">
        <v>96</v>
      </c>
      <c r="D8" s="116" t="s">
        <v>97</v>
      </c>
      <c r="E8" s="117" t="s">
        <v>101</v>
      </c>
      <c r="F8" s="98">
        <v>80</v>
      </c>
      <c r="G8" s="37">
        <v>91.3</v>
      </c>
      <c r="H8" s="37">
        <v>100</v>
      </c>
      <c r="I8" s="37">
        <v>100</v>
      </c>
      <c r="J8" s="37">
        <v>100</v>
      </c>
      <c r="K8" s="37">
        <v>100</v>
      </c>
      <c r="L8" s="37">
        <v>100</v>
      </c>
      <c r="M8" s="37">
        <v>100</v>
      </c>
      <c r="N8" s="37">
        <v>100</v>
      </c>
    </row>
    <row r="9" spans="1:14" ht="63" x14ac:dyDescent="0.25">
      <c r="A9" s="36" t="s">
        <v>102</v>
      </c>
      <c r="B9" s="120" t="s">
        <v>103</v>
      </c>
      <c r="C9" s="116" t="s">
        <v>96</v>
      </c>
      <c r="D9" s="116" t="s">
        <v>97</v>
      </c>
      <c r="E9" s="116" t="s">
        <v>101</v>
      </c>
      <c r="F9" s="116">
        <v>1.96</v>
      </c>
      <c r="G9" s="121">
        <v>98.53</v>
      </c>
      <c r="H9" s="121">
        <v>98.6</v>
      </c>
      <c r="I9" s="121">
        <v>98.6</v>
      </c>
      <c r="J9" s="121">
        <v>100</v>
      </c>
      <c r="K9" s="121">
        <v>100</v>
      </c>
      <c r="L9" s="121">
        <v>100</v>
      </c>
      <c r="M9" s="121">
        <v>100</v>
      </c>
      <c r="N9" s="121">
        <v>100</v>
      </c>
    </row>
    <row r="10" spans="1:14" ht="63" x14ac:dyDescent="0.25">
      <c r="A10" s="36" t="s">
        <v>104</v>
      </c>
      <c r="B10" s="115" t="s">
        <v>105</v>
      </c>
      <c r="C10" s="35" t="s">
        <v>96</v>
      </c>
      <c r="D10" s="116" t="s">
        <v>97</v>
      </c>
      <c r="E10" s="116" t="s">
        <v>101</v>
      </c>
      <c r="F10" s="122">
        <v>60.5</v>
      </c>
      <c r="G10" s="123">
        <v>67</v>
      </c>
      <c r="H10" s="123">
        <v>83</v>
      </c>
      <c r="I10" s="123">
        <v>83</v>
      </c>
      <c r="J10" s="123">
        <v>83</v>
      </c>
      <c r="K10" s="123">
        <v>83</v>
      </c>
      <c r="L10" s="123">
        <v>83</v>
      </c>
      <c r="M10" s="123">
        <v>100</v>
      </c>
      <c r="N10" s="123">
        <v>100</v>
      </c>
    </row>
    <row r="11" spans="1:14" s="82" customFormat="1" x14ac:dyDescent="0.25">
      <c r="A11" s="124" t="s">
        <v>106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s="82" customFormat="1" x14ac:dyDescent="0.25">
      <c r="A12" s="124" t="s">
        <v>107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s="82" customFormat="1" x14ac:dyDescent="0.25">
      <c r="A13" s="124" t="s">
        <v>108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ht="31.5" x14ac:dyDescent="0.25">
      <c r="A14" s="36" t="s">
        <v>109</v>
      </c>
      <c r="B14" s="115" t="s">
        <v>110</v>
      </c>
      <c r="C14" s="37" t="s">
        <v>96</v>
      </c>
      <c r="D14" s="35">
        <v>0.02</v>
      </c>
      <c r="E14" s="125" t="s">
        <v>111</v>
      </c>
      <c r="F14" s="37">
        <v>64</v>
      </c>
      <c r="G14" s="37">
        <v>90.1</v>
      </c>
      <c r="H14" s="126">
        <v>97.5</v>
      </c>
      <c r="I14" s="126">
        <v>100</v>
      </c>
      <c r="J14" s="126">
        <v>100</v>
      </c>
      <c r="K14" s="126">
        <v>100</v>
      </c>
      <c r="L14" s="126">
        <v>100</v>
      </c>
      <c r="M14" s="126">
        <v>100</v>
      </c>
      <c r="N14" s="126">
        <v>100</v>
      </c>
    </row>
    <row r="15" spans="1:14" ht="63" x14ac:dyDescent="0.25">
      <c r="A15" s="36" t="s">
        <v>112</v>
      </c>
      <c r="B15" s="115" t="s">
        <v>113</v>
      </c>
      <c r="C15" s="37" t="s">
        <v>96</v>
      </c>
      <c r="D15" s="35">
        <v>0.02</v>
      </c>
      <c r="E15" s="125" t="s">
        <v>111</v>
      </c>
      <c r="F15" s="127">
        <v>78.8</v>
      </c>
      <c r="G15" s="127">
        <v>85</v>
      </c>
      <c r="H15" s="127">
        <v>97</v>
      </c>
      <c r="I15" s="126">
        <v>100</v>
      </c>
      <c r="J15" s="126">
        <v>100</v>
      </c>
      <c r="K15" s="126">
        <v>100</v>
      </c>
      <c r="L15" s="126">
        <v>100</v>
      </c>
      <c r="M15" s="126">
        <v>100</v>
      </c>
      <c r="N15" s="126">
        <v>100</v>
      </c>
    </row>
    <row r="16" spans="1:14" ht="94.5" x14ac:dyDescent="0.25">
      <c r="A16" s="36" t="s">
        <v>114</v>
      </c>
      <c r="B16" s="115" t="s">
        <v>115</v>
      </c>
      <c r="C16" s="37" t="s">
        <v>96</v>
      </c>
      <c r="D16" s="35">
        <v>0.02</v>
      </c>
      <c r="E16" s="125" t="s">
        <v>111</v>
      </c>
      <c r="F16" s="128" t="s">
        <v>116</v>
      </c>
      <c r="G16" s="37" t="s">
        <v>116</v>
      </c>
      <c r="H16" s="126">
        <v>0</v>
      </c>
      <c r="I16" s="126">
        <v>0</v>
      </c>
      <c r="J16" s="126">
        <v>100</v>
      </c>
      <c r="K16" s="126">
        <v>100</v>
      </c>
      <c r="L16" s="126">
        <v>100</v>
      </c>
      <c r="M16" s="126">
        <v>100</v>
      </c>
      <c r="N16" s="126">
        <v>100</v>
      </c>
    </row>
    <row r="17" spans="1:14" ht="78.75" x14ac:dyDescent="0.25">
      <c r="A17" s="36" t="s">
        <v>117</v>
      </c>
      <c r="B17" s="115" t="s">
        <v>118</v>
      </c>
      <c r="C17" s="37" t="s">
        <v>96</v>
      </c>
      <c r="D17" s="35">
        <v>0.02</v>
      </c>
      <c r="E17" s="125" t="s">
        <v>111</v>
      </c>
      <c r="F17" s="37" t="s">
        <v>116</v>
      </c>
      <c r="G17" s="37" t="s">
        <v>119</v>
      </c>
      <c r="H17" s="126" t="s">
        <v>120</v>
      </c>
      <c r="I17" s="126" t="s">
        <v>120</v>
      </c>
      <c r="J17" s="126" t="s">
        <v>120</v>
      </c>
      <c r="K17" s="126" t="s">
        <v>120</v>
      </c>
      <c r="L17" s="126" t="s">
        <v>120</v>
      </c>
      <c r="M17" s="126" t="s">
        <v>120</v>
      </c>
      <c r="N17" s="126" t="s">
        <v>120</v>
      </c>
    </row>
    <row r="18" spans="1:14" s="82" customFormat="1" x14ac:dyDescent="0.25">
      <c r="A18" s="124" t="s">
        <v>121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4" s="82" customFormat="1" x14ac:dyDescent="0.25">
      <c r="A19" s="124" t="s">
        <v>122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  <row r="20" spans="1:14" s="82" customFormat="1" x14ac:dyDescent="0.25">
      <c r="A20" s="124" t="s">
        <v>123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</row>
    <row r="21" spans="1:14" ht="31.5" x14ac:dyDescent="0.25">
      <c r="A21" s="36" t="s">
        <v>124</v>
      </c>
      <c r="B21" s="115" t="s">
        <v>125</v>
      </c>
      <c r="C21" s="35" t="s">
        <v>96</v>
      </c>
      <c r="D21" s="35">
        <v>0.02</v>
      </c>
      <c r="E21" s="117" t="s">
        <v>101</v>
      </c>
      <c r="F21" s="35" t="s">
        <v>126</v>
      </c>
      <c r="G21" s="129">
        <v>71.400000000000006</v>
      </c>
      <c r="H21" s="129">
        <v>85.7</v>
      </c>
      <c r="I21" s="122">
        <v>85.7</v>
      </c>
      <c r="J21" s="122">
        <v>85.7</v>
      </c>
      <c r="K21" s="122">
        <v>85.7</v>
      </c>
      <c r="L21" s="122">
        <v>85.7</v>
      </c>
      <c r="M21" s="122">
        <v>85.7</v>
      </c>
      <c r="N21" s="122">
        <v>85.7</v>
      </c>
    </row>
    <row r="22" spans="1:14" ht="31.5" x14ac:dyDescent="0.25">
      <c r="A22" s="36" t="s">
        <v>127</v>
      </c>
      <c r="B22" s="115" t="s">
        <v>128</v>
      </c>
      <c r="C22" s="35" t="s">
        <v>96</v>
      </c>
      <c r="D22" s="35">
        <v>0.02</v>
      </c>
      <c r="E22" s="117" t="s">
        <v>101</v>
      </c>
      <c r="F22" s="35" t="s">
        <v>126</v>
      </c>
      <c r="G22" s="130">
        <v>75</v>
      </c>
      <c r="H22" s="130">
        <v>75</v>
      </c>
      <c r="I22" s="122">
        <v>75</v>
      </c>
      <c r="J22" s="122">
        <v>85</v>
      </c>
      <c r="K22" s="122">
        <v>85</v>
      </c>
      <c r="L22" s="122">
        <v>85</v>
      </c>
      <c r="M22" s="122">
        <v>85</v>
      </c>
      <c r="N22" s="122">
        <v>85</v>
      </c>
    </row>
    <row r="23" spans="1:14" ht="31.5" x14ac:dyDescent="0.25">
      <c r="A23" s="36" t="s">
        <v>129</v>
      </c>
      <c r="B23" s="115" t="s">
        <v>130</v>
      </c>
      <c r="C23" s="35" t="s">
        <v>131</v>
      </c>
      <c r="D23" s="35">
        <v>0.02</v>
      </c>
      <c r="E23" s="117" t="s">
        <v>101</v>
      </c>
      <c r="F23" s="35"/>
      <c r="G23" s="130">
        <v>8</v>
      </c>
      <c r="H23" s="130">
        <v>8</v>
      </c>
      <c r="I23" s="122">
        <v>8</v>
      </c>
      <c r="J23" s="122">
        <v>8</v>
      </c>
      <c r="K23" s="122">
        <v>8</v>
      </c>
      <c r="L23" s="122">
        <v>8</v>
      </c>
      <c r="M23" s="122">
        <v>8</v>
      </c>
      <c r="N23" s="122">
        <v>8</v>
      </c>
    </row>
    <row r="24" spans="1:14" ht="31.5" x14ac:dyDescent="0.25">
      <c r="A24" s="36" t="s">
        <v>132</v>
      </c>
      <c r="B24" s="115" t="s">
        <v>133</v>
      </c>
      <c r="C24" s="35" t="s">
        <v>96</v>
      </c>
      <c r="D24" s="35">
        <v>0.02</v>
      </c>
      <c r="E24" s="117" t="s">
        <v>101</v>
      </c>
      <c r="F24" s="35"/>
      <c r="G24" s="130">
        <v>100</v>
      </c>
      <c r="H24" s="130">
        <v>100</v>
      </c>
      <c r="I24" s="122">
        <v>100</v>
      </c>
      <c r="J24" s="122">
        <v>100</v>
      </c>
      <c r="K24" s="122">
        <v>100</v>
      </c>
      <c r="L24" s="122">
        <v>100</v>
      </c>
      <c r="M24" s="122">
        <v>100</v>
      </c>
      <c r="N24" s="122">
        <v>100</v>
      </c>
    </row>
    <row r="25" spans="1:14" ht="31.5" x14ac:dyDescent="0.25">
      <c r="A25" s="36" t="s">
        <v>134</v>
      </c>
      <c r="B25" s="115" t="s">
        <v>135</v>
      </c>
      <c r="C25" s="35" t="s">
        <v>131</v>
      </c>
      <c r="D25" s="35">
        <v>0.02</v>
      </c>
      <c r="E25" s="117" t="s">
        <v>101</v>
      </c>
      <c r="F25" s="35" t="s">
        <v>126</v>
      </c>
      <c r="G25" s="130">
        <v>7</v>
      </c>
      <c r="H25" s="130">
        <v>7</v>
      </c>
      <c r="I25" s="130">
        <v>7</v>
      </c>
      <c r="J25" s="130">
        <v>7</v>
      </c>
      <c r="K25" s="130">
        <v>7</v>
      </c>
      <c r="L25" s="130">
        <v>7</v>
      </c>
      <c r="M25" s="130">
        <v>7</v>
      </c>
      <c r="N25" s="130">
        <v>7</v>
      </c>
    </row>
    <row r="26" spans="1:14" s="82" customFormat="1" x14ac:dyDescent="0.25">
      <c r="A26" s="124" t="s">
        <v>136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</row>
    <row r="27" spans="1:14" ht="31.5" x14ac:dyDescent="0.25">
      <c r="A27" s="36" t="s">
        <v>137</v>
      </c>
      <c r="B27" s="115" t="s">
        <v>138</v>
      </c>
      <c r="C27" s="116" t="s">
        <v>96</v>
      </c>
      <c r="D27" s="35">
        <v>0.02</v>
      </c>
      <c r="E27" s="116" t="s">
        <v>101</v>
      </c>
      <c r="F27" s="12">
        <v>15.6</v>
      </c>
      <c r="G27" s="130">
        <v>87.5</v>
      </c>
      <c r="H27" s="130">
        <v>100</v>
      </c>
      <c r="I27" s="130">
        <v>100</v>
      </c>
      <c r="J27" s="130">
        <v>100</v>
      </c>
      <c r="K27" s="130">
        <v>100</v>
      </c>
      <c r="L27" s="131">
        <v>100</v>
      </c>
      <c r="M27" s="131">
        <v>100</v>
      </c>
      <c r="N27" s="131">
        <v>100</v>
      </c>
    </row>
    <row r="28" spans="1:14" ht="31.5" x14ac:dyDescent="0.25">
      <c r="A28" s="36" t="s">
        <v>139</v>
      </c>
      <c r="B28" s="115" t="s">
        <v>140</v>
      </c>
      <c r="C28" s="116" t="s">
        <v>96</v>
      </c>
      <c r="D28" s="35">
        <v>0.03</v>
      </c>
      <c r="E28" s="116" t="s">
        <v>101</v>
      </c>
      <c r="F28" s="12">
        <v>83.66</v>
      </c>
      <c r="G28" s="130">
        <v>89</v>
      </c>
      <c r="H28" s="130">
        <v>90</v>
      </c>
      <c r="I28" s="131">
        <v>95</v>
      </c>
      <c r="J28" s="131">
        <v>95</v>
      </c>
      <c r="K28" s="131">
        <v>95</v>
      </c>
      <c r="L28" s="131">
        <v>95</v>
      </c>
      <c r="M28" s="131">
        <v>95</v>
      </c>
      <c r="N28" s="131">
        <v>95</v>
      </c>
    </row>
    <row r="29" spans="1:14" ht="63" x14ac:dyDescent="0.25">
      <c r="A29" s="36" t="s">
        <v>141</v>
      </c>
      <c r="B29" s="115" t="s">
        <v>142</v>
      </c>
      <c r="C29" s="116" t="s">
        <v>96</v>
      </c>
      <c r="D29" s="35">
        <v>0.03</v>
      </c>
      <c r="E29" s="116" t="s">
        <v>101</v>
      </c>
      <c r="F29" s="132">
        <v>90</v>
      </c>
      <c r="G29" s="130">
        <v>10.1</v>
      </c>
      <c r="H29" s="130">
        <v>10.1</v>
      </c>
      <c r="I29" s="131">
        <v>10.1</v>
      </c>
      <c r="J29" s="131">
        <v>9.1</v>
      </c>
      <c r="K29" s="131">
        <v>9.5</v>
      </c>
      <c r="L29" s="131">
        <v>10.1</v>
      </c>
      <c r="M29" s="131">
        <v>10.1</v>
      </c>
      <c r="N29" s="131">
        <v>10.1</v>
      </c>
    </row>
    <row r="30" spans="1:14" s="133" customFormat="1" ht="63" x14ac:dyDescent="0.2">
      <c r="A30" s="36" t="s">
        <v>143</v>
      </c>
      <c r="B30" s="115" t="s">
        <v>144</v>
      </c>
      <c r="C30" s="35" t="s">
        <v>96</v>
      </c>
      <c r="D30" s="35">
        <v>0.03</v>
      </c>
      <c r="E30" s="117" t="s">
        <v>98</v>
      </c>
      <c r="F30" s="122">
        <v>2.34</v>
      </c>
      <c r="G30" s="130">
        <v>1.1299999999999999</v>
      </c>
      <c r="H30" s="130">
        <v>1.57</v>
      </c>
      <c r="I30" s="130">
        <v>1.72</v>
      </c>
      <c r="J30" s="130">
        <v>1.86</v>
      </c>
      <c r="K30" s="130">
        <v>1.87</v>
      </c>
      <c r="L30" s="130">
        <v>1.9</v>
      </c>
      <c r="M30" s="130">
        <v>1.9</v>
      </c>
      <c r="N30" s="130">
        <v>1.9</v>
      </c>
    </row>
    <row r="31" spans="1:14" ht="47.25" x14ac:dyDescent="0.25">
      <c r="A31" s="36" t="s">
        <v>145</v>
      </c>
      <c r="B31" s="115" t="s">
        <v>146</v>
      </c>
      <c r="C31" s="116" t="s">
        <v>96</v>
      </c>
      <c r="D31" s="35">
        <v>0.02</v>
      </c>
      <c r="E31" s="116" t="s">
        <v>101</v>
      </c>
      <c r="F31" s="12">
        <v>9.7799999999999994</v>
      </c>
      <c r="G31" s="129">
        <v>39</v>
      </c>
      <c r="H31" s="129">
        <v>41</v>
      </c>
      <c r="I31" s="131">
        <v>41</v>
      </c>
      <c r="J31" s="134">
        <v>42.5</v>
      </c>
      <c r="K31" s="134">
        <v>48.8</v>
      </c>
      <c r="L31" s="134">
        <v>50.2</v>
      </c>
      <c r="M31" s="134">
        <v>50.2</v>
      </c>
      <c r="N31" s="134">
        <v>50.2</v>
      </c>
    </row>
    <row r="32" spans="1:14" ht="63" x14ac:dyDescent="0.25">
      <c r="A32" s="36" t="s">
        <v>147</v>
      </c>
      <c r="B32" s="115" t="s">
        <v>148</v>
      </c>
      <c r="C32" s="135" t="s">
        <v>96</v>
      </c>
      <c r="D32" s="35">
        <v>0.03</v>
      </c>
      <c r="E32" s="116" t="s">
        <v>101</v>
      </c>
      <c r="F32" s="135">
        <v>83</v>
      </c>
      <c r="G32" s="129">
        <v>0</v>
      </c>
      <c r="H32" s="129">
        <v>0</v>
      </c>
      <c r="I32" s="131">
        <v>0</v>
      </c>
      <c r="J32" s="131">
        <v>0</v>
      </c>
      <c r="K32" s="131">
        <v>0</v>
      </c>
      <c r="L32" s="131">
        <v>0</v>
      </c>
      <c r="M32" s="131">
        <v>0</v>
      </c>
      <c r="N32" s="131">
        <v>0</v>
      </c>
    </row>
    <row r="33" spans="1:14" ht="47.25" x14ac:dyDescent="0.25">
      <c r="A33" s="36" t="s">
        <v>149</v>
      </c>
      <c r="B33" s="115" t="s">
        <v>150</v>
      </c>
      <c r="C33" s="135" t="s">
        <v>96</v>
      </c>
      <c r="D33" s="35">
        <v>0.02</v>
      </c>
      <c r="E33" s="116" t="s">
        <v>101</v>
      </c>
      <c r="F33" s="136">
        <v>35</v>
      </c>
      <c r="G33" s="137">
        <v>93.5</v>
      </c>
      <c r="H33" s="137">
        <v>93.5</v>
      </c>
      <c r="I33" s="134">
        <v>95</v>
      </c>
      <c r="J33" s="134">
        <v>100</v>
      </c>
      <c r="K33" s="134">
        <v>100</v>
      </c>
      <c r="L33" s="134">
        <v>100</v>
      </c>
      <c r="M33" s="134">
        <v>100</v>
      </c>
      <c r="N33" s="134">
        <v>100</v>
      </c>
    </row>
    <row r="34" spans="1:14" ht="47.25" x14ac:dyDescent="0.25">
      <c r="A34" s="36" t="s">
        <v>151</v>
      </c>
      <c r="B34" s="115" t="s">
        <v>152</v>
      </c>
      <c r="C34" s="135" t="s">
        <v>96</v>
      </c>
      <c r="D34" s="35">
        <v>0.02</v>
      </c>
      <c r="E34" s="116" t="s">
        <v>101</v>
      </c>
      <c r="F34" s="136">
        <v>45</v>
      </c>
      <c r="G34" s="137">
        <v>92</v>
      </c>
      <c r="H34" s="137">
        <v>92</v>
      </c>
      <c r="I34" s="134">
        <v>92</v>
      </c>
      <c r="J34" s="134">
        <v>100</v>
      </c>
      <c r="K34" s="134">
        <v>100</v>
      </c>
      <c r="L34" s="134">
        <v>100</v>
      </c>
      <c r="M34" s="134">
        <v>100</v>
      </c>
      <c r="N34" s="134">
        <v>100</v>
      </c>
    </row>
    <row r="35" spans="1:14" ht="31.5" x14ac:dyDescent="0.25">
      <c r="A35" s="36" t="s">
        <v>153</v>
      </c>
      <c r="B35" s="115" t="s">
        <v>154</v>
      </c>
      <c r="C35" s="135" t="s">
        <v>96</v>
      </c>
      <c r="D35" s="35">
        <v>0.02</v>
      </c>
      <c r="E35" s="116" t="s">
        <v>101</v>
      </c>
      <c r="F35" s="136">
        <v>1</v>
      </c>
      <c r="G35" s="130">
        <v>96</v>
      </c>
      <c r="H35" s="130">
        <v>96.5</v>
      </c>
      <c r="I35" s="131">
        <v>97</v>
      </c>
      <c r="J35" s="131">
        <v>97</v>
      </c>
      <c r="K35" s="131">
        <v>98</v>
      </c>
      <c r="L35" s="131">
        <v>98</v>
      </c>
      <c r="M35" s="131">
        <v>98</v>
      </c>
      <c r="N35" s="131">
        <v>98</v>
      </c>
    </row>
    <row r="36" spans="1:14" ht="94.5" x14ac:dyDescent="0.25">
      <c r="A36" s="36" t="s">
        <v>155</v>
      </c>
      <c r="B36" s="115" t="s">
        <v>156</v>
      </c>
      <c r="C36" s="116" t="s">
        <v>96</v>
      </c>
      <c r="D36" s="35">
        <v>0.02</v>
      </c>
      <c r="E36" s="116" t="s">
        <v>101</v>
      </c>
      <c r="F36" s="116" t="s">
        <v>126</v>
      </c>
      <c r="G36" s="130">
        <v>2.5</v>
      </c>
      <c r="H36" s="130">
        <v>3</v>
      </c>
      <c r="I36" s="131">
        <v>3.4</v>
      </c>
      <c r="J36" s="131">
        <v>2.4</v>
      </c>
      <c r="K36" s="131">
        <v>2.8</v>
      </c>
      <c r="L36" s="131">
        <v>2.8</v>
      </c>
      <c r="M36" s="131">
        <v>2.8</v>
      </c>
      <c r="N36" s="131">
        <v>2.8</v>
      </c>
    </row>
    <row r="37" spans="1:14" s="82" customFormat="1" x14ac:dyDescent="0.25">
      <c r="A37" s="124" t="s">
        <v>157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1:14" ht="31.5" x14ac:dyDescent="0.25">
      <c r="A38" s="138" t="s">
        <v>158</v>
      </c>
      <c r="B38" s="115" t="s">
        <v>159</v>
      </c>
      <c r="C38" s="35" t="s">
        <v>96</v>
      </c>
      <c r="D38" s="35">
        <v>0.03</v>
      </c>
      <c r="E38" s="117" t="s">
        <v>101</v>
      </c>
      <c r="F38" s="116">
        <v>70</v>
      </c>
      <c r="G38" s="130">
        <v>75</v>
      </c>
      <c r="H38" s="130">
        <v>75</v>
      </c>
      <c r="I38" s="139">
        <v>75</v>
      </c>
      <c r="J38" s="139">
        <v>93</v>
      </c>
      <c r="K38" s="139">
        <v>93</v>
      </c>
      <c r="L38" s="139">
        <v>75</v>
      </c>
      <c r="M38" s="139">
        <v>75</v>
      </c>
      <c r="N38" s="139">
        <v>75</v>
      </c>
    </row>
    <row r="39" spans="1:14" ht="31.5" x14ac:dyDescent="0.25">
      <c r="A39" s="138" t="s">
        <v>160</v>
      </c>
      <c r="B39" s="140" t="s">
        <v>161</v>
      </c>
      <c r="C39" s="37" t="s">
        <v>96</v>
      </c>
      <c r="D39" s="37">
        <v>0.03</v>
      </c>
      <c r="E39" s="141" t="s">
        <v>101</v>
      </c>
      <c r="F39" s="121"/>
      <c r="G39" s="137">
        <v>67</v>
      </c>
      <c r="H39" s="137">
        <v>70</v>
      </c>
      <c r="I39" s="119">
        <v>72</v>
      </c>
      <c r="J39" s="119">
        <v>72</v>
      </c>
      <c r="K39" s="119">
        <v>72</v>
      </c>
      <c r="L39" s="119">
        <v>72</v>
      </c>
      <c r="M39" s="119">
        <v>72</v>
      </c>
      <c r="N39" s="119">
        <v>72</v>
      </c>
    </row>
    <row r="40" spans="1:14" ht="31.5" x14ac:dyDescent="0.25">
      <c r="A40" s="138" t="s">
        <v>162</v>
      </c>
      <c r="B40" s="140" t="s">
        <v>163</v>
      </c>
      <c r="C40" s="35" t="s">
        <v>96</v>
      </c>
      <c r="D40" s="35">
        <v>0.03</v>
      </c>
      <c r="E40" s="117" t="s">
        <v>101</v>
      </c>
      <c r="F40" s="116" t="s">
        <v>126</v>
      </c>
      <c r="G40" s="130">
        <v>15</v>
      </c>
      <c r="H40" s="130">
        <v>15</v>
      </c>
      <c r="I40" s="139">
        <v>16.5</v>
      </c>
      <c r="J40" s="139">
        <v>18.3</v>
      </c>
      <c r="K40" s="139">
        <v>19.100000000000001</v>
      </c>
      <c r="L40" s="139">
        <v>19.5</v>
      </c>
      <c r="M40" s="139">
        <v>19.5</v>
      </c>
      <c r="N40" s="139">
        <v>19.5</v>
      </c>
    </row>
    <row r="41" spans="1:14" s="82" customFormat="1" x14ac:dyDescent="0.25">
      <c r="A41" s="124" t="s">
        <v>164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</row>
    <row r="42" spans="1:14" ht="63" x14ac:dyDescent="0.25">
      <c r="A42" s="138" t="s">
        <v>165</v>
      </c>
      <c r="B42" s="140" t="s">
        <v>166</v>
      </c>
      <c r="C42" s="35" t="s">
        <v>96</v>
      </c>
      <c r="D42" s="35">
        <v>0.03</v>
      </c>
      <c r="E42" s="117" t="s">
        <v>101</v>
      </c>
      <c r="F42" s="116">
        <v>78.400000000000006</v>
      </c>
      <c r="G42" s="139">
        <v>80.2</v>
      </c>
      <c r="H42" s="139">
        <v>80.400000000000006</v>
      </c>
      <c r="I42" s="139">
        <v>80.5</v>
      </c>
      <c r="J42" s="139">
        <v>80.5</v>
      </c>
      <c r="K42" s="139">
        <v>80.5</v>
      </c>
      <c r="L42" s="139">
        <v>80.5</v>
      </c>
      <c r="M42" s="139">
        <v>80.5</v>
      </c>
      <c r="N42" s="139">
        <v>80.5</v>
      </c>
    </row>
    <row r="43" spans="1:14" s="82" customFormat="1" x14ac:dyDescent="0.25">
      <c r="A43" s="124" t="s">
        <v>167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</row>
    <row r="44" spans="1:14" s="82" customFormat="1" x14ac:dyDescent="0.25">
      <c r="A44" s="124" t="s">
        <v>168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</row>
    <row r="45" spans="1:14" s="82" customFormat="1" x14ac:dyDescent="0.25">
      <c r="A45" s="124" t="s">
        <v>169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</row>
    <row r="46" spans="1:14" ht="31.5" x14ac:dyDescent="0.25">
      <c r="A46" s="36" t="s">
        <v>170</v>
      </c>
      <c r="B46" s="115" t="s">
        <v>171</v>
      </c>
      <c r="C46" s="135" t="s">
        <v>96</v>
      </c>
      <c r="D46" s="35">
        <v>0.04</v>
      </c>
      <c r="E46" s="116" t="s">
        <v>101</v>
      </c>
      <c r="F46" s="122">
        <v>97.09</v>
      </c>
      <c r="G46" s="117">
        <v>82.9</v>
      </c>
      <c r="H46" s="117">
        <v>82.9</v>
      </c>
      <c r="I46" s="117">
        <v>93.2</v>
      </c>
      <c r="J46" s="117">
        <v>93.7</v>
      </c>
      <c r="K46" s="117">
        <v>94</v>
      </c>
      <c r="L46" s="117">
        <v>94</v>
      </c>
      <c r="M46" s="117">
        <v>94</v>
      </c>
      <c r="N46" s="117">
        <v>94</v>
      </c>
    </row>
    <row r="47" spans="1:14" s="82" customFormat="1" x14ac:dyDescent="0.25">
      <c r="A47" s="124" t="s">
        <v>172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</row>
    <row r="48" spans="1:14" ht="31.5" x14ac:dyDescent="0.25">
      <c r="A48" s="36" t="s">
        <v>173</v>
      </c>
      <c r="B48" s="142" t="s">
        <v>174</v>
      </c>
      <c r="C48" s="135" t="s">
        <v>96</v>
      </c>
      <c r="D48" s="35">
        <v>0.04</v>
      </c>
      <c r="E48" s="117" t="s">
        <v>101</v>
      </c>
      <c r="F48" s="143">
        <v>134</v>
      </c>
      <c r="G48" s="117">
        <v>73</v>
      </c>
      <c r="H48" s="117">
        <v>74</v>
      </c>
      <c r="I48" s="117">
        <v>89</v>
      </c>
      <c r="J48" s="117">
        <v>90</v>
      </c>
      <c r="K48" s="117">
        <v>92</v>
      </c>
      <c r="L48" s="117">
        <v>95</v>
      </c>
      <c r="M48" s="117">
        <v>95</v>
      </c>
      <c r="N48" s="117">
        <v>95</v>
      </c>
    </row>
    <row r="49" spans="1:14" ht="47.25" x14ac:dyDescent="0.25">
      <c r="A49" s="36" t="s">
        <v>175</v>
      </c>
      <c r="B49" s="142" t="s">
        <v>176</v>
      </c>
      <c r="C49" s="135" t="s">
        <v>96</v>
      </c>
      <c r="D49" s="35">
        <v>0.04</v>
      </c>
      <c r="E49" s="116" t="s">
        <v>101</v>
      </c>
      <c r="F49" s="116">
        <v>15.6</v>
      </c>
      <c r="G49" s="117">
        <v>70</v>
      </c>
      <c r="H49" s="117">
        <v>70</v>
      </c>
      <c r="I49" s="117">
        <v>95</v>
      </c>
      <c r="J49" s="117">
        <v>97</v>
      </c>
      <c r="K49" s="117">
        <v>97</v>
      </c>
      <c r="L49" s="117">
        <v>98</v>
      </c>
      <c r="M49" s="117">
        <v>98</v>
      </c>
      <c r="N49" s="117">
        <v>98</v>
      </c>
    </row>
    <row r="50" spans="1:14" s="82" customFormat="1" x14ac:dyDescent="0.25">
      <c r="A50" s="124" t="s">
        <v>177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</row>
    <row r="51" spans="1:14" s="82" customFormat="1" x14ac:dyDescent="0.25">
      <c r="A51" s="124" t="s">
        <v>178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</row>
    <row r="52" spans="1:14" s="82" customFormat="1" x14ac:dyDescent="0.25">
      <c r="A52" s="124" t="s">
        <v>179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</row>
    <row r="53" spans="1:14" ht="31.5" x14ac:dyDescent="0.25">
      <c r="A53" s="144" t="s">
        <v>180</v>
      </c>
      <c r="B53" s="145" t="s">
        <v>181</v>
      </c>
      <c r="C53" s="146" t="s">
        <v>182</v>
      </c>
      <c r="D53" s="100">
        <v>0.03</v>
      </c>
      <c r="E53" s="147" t="s">
        <v>21</v>
      </c>
      <c r="F53" s="148"/>
      <c r="G53" s="149">
        <v>1460</v>
      </c>
      <c r="H53" s="149">
        <v>1470</v>
      </c>
      <c r="I53" s="146">
        <v>1470</v>
      </c>
      <c r="J53" s="146">
        <v>2863</v>
      </c>
      <c r="K53" s="146">
        <v>3174</v>
      </c>
      <c r="L53" s="146">
        <v>3205</v>
      </c>
      <c r="M53" s="146">
        <v>3205</v>
      </c>
      <c r="N53" s="146">
        <v>3205</v>
      </c>
    </row>
    <row r="54" spans="1:14" ht="31.5" x14ac:dyDescent="0.25">
      <c r="A54" s="146" t="s">
        <v>183</v>
      </c>
      <c r="B54" s="145" t="s">
        <v>184</v>
      </c>
      <c r="C54" s="146" t="s">
        <v>182</v>
      </c>
      <c r="D54" s="146">
        <v>0.01</v>
      </c>
      <c r="E54" s="147" t="s">
        <v>21</v>
      </c>
      <c r="F54" s="148"/>
      <c r="G54" s="149">
        <v>28870</v>
      </c>
      <c r="H54" s="149">
        <v>29600</v>
      </c>
      <c r="I54" s="146">
        <v>30690</v>
      </c>
      <c r="J54" s="146">
        <v>32180</v>
      </c>
      <c r="K54" s="146">
        <v>33390</v>
      </c>
      <c r="L54" s="146">
        <v>33390</v>
      </c>
      <c r="M54" s="146">
        <v>33390</v>
      </c>
      <c r="N54" s="146">
        <v>33390</v>
      </c>
    </row>
    <row r="55" spans="1:14" ht="63" x14ac:dyDescent="0.25">
      <c r="A55" s="144" t="s">
        <v>185</v>
      </c>
      <c r="B55" s="145" t="s">
        <v>186</v>
      </c>
      <c r="C55" s="146" t="s">
        <v>182</v>
      </c>
      <c r="D55" s="146">
        <v>0.01</v>
      </c>
      <c r="E55" s="147" t="s">
        <v>21</v>
      </c>
      <c r="F55" s="148"/>
      <c r="G55" s="149">
        <v>17972</v>
      </c>
      <c r="H55" s="149">
        <v>18638</v>
      </c>
      <c r="I55" s="146">
        <v>19328</v>
      </c>
      <c r="J55" s="146">
        <v>21911</v>
      </c>
      <c r="K55" s="146">
        <v>24405</v>
      </c>
      <c r="L55" s="146">
        <v>24405</v>
      </c>
      <c r="M55" s="146">
        <v>24405</v>
      </c>
      <c r="N55" s="146">
        <v>24405</v>
      </c>
    </row>
    <row r="56" spans="1:14" ht="31.5" x14ac:dyDescent="0.25">
      <c r="A56" s="36" t="s">
        <v>187</v>
      </c>
      <c r="B56" s="142" t="s">
        <v>188</v>
      </c>
      <c r="C56" s="116" t="s">
        <v>189</v>
      </c>
      <c r="D56" s="116">
        <v>0.02</v>
      </c>
      <c r="E56" s="150" t="s">
        <v>101</v>
      </c>
      <c r="F56" s="118"/>
      <c r="G56" s="11">
        <v>25.02</v>
      </c>
      <c r="H56" s="11">
        <v>25</v>
      </c>
      <c r="I56" s="116">
        <v>25</v>
      </c>
      <c r="J56" s="116">
        <v>23.9</v>
      </c>
      <c r="K56" s="116">
        <v>24</v>
      </c>
      <c r="L56" s="116">
        <v>24</v>
      </c>
      <c r="M56" s="116">
        <v>24</v>
      </c>
      <c r="N56" s="116">
        <v>24</v>
      </c>
    </row>
    <row r="57" spans="1:14" ht="31.5" x14ac:dyDescent="0.25">
      <c r="A57" s="36" t="s">
        <v>190</v>
      </c>
      <c r="B57" s="142" t="s">
        <v>191</v>
      </c>
      <c r="C57" s="116" t="s">
        <v>189</v>
      </c>
      <c r="D57" s="116">
        <v>0.02</v>
      </c>
      <c r="E57" s="150" t="s">
        <v>101</v>
      </c>
      <c r="F57" s="118"/>
      <c r="G57" s="11">
        <v>18.82</v>
      </c>
      <c r="H57" s="11">
        <v>18.82</v>
      </c>
      <c r="I57" s="116">
        <v>18.8</v>
      </c>
      <c r="J57" s="116">
        <v>17</v>
      </c>
      <c r="K57" s="116">
        <v>17</v>
      </c>
      <c r="L57" s="116">
        <v>17</v>
      </c>
      <c r="M57" s="116">
        <v>17</v>
      </c>
      <c r="N57" s="116">
        <v>17</v>
      </c>
    </row>
    <row r="58" spans="1:14" ht="78.75" x14ac:dyDescent="0.25">
      <c r="A58" s="116" t="s">
        <v>192</v>
      </c>
      <c r="B58" s="142" t="s">
        <v>193</v>
      </c>
      <c r="C58" s="116" t="s">
        <v>194</v>
      </c>
      <c r="D58" s="116">
        <v>0.02</v>
      </c>
      <c r="E58" s="150" t="s">
        <v>101</v>
      </c>
      <c r="F58" s="118"/>
      <c r="G58" s="11">
        <v>0.7</v>
      </c>
      <c r="H58" s="11">
        <v>0.7</v>
      </c>
      <c r="I58" s="116">
        <v>0.7</v>
      </c>
      <c r="J58" s="116">
        <v>0.7</v>
      </c>
      <c r="K58" s="116">
        <v>0.7</v>
      </c>
      <c r="L58" s="116">
        <v>0.7</v>
      </c>
      <c r="M58" s="116">
        <v>0.7</v>
      </c>
      <c r="N58" s="116">
        <v>0.7</v>
      </c>
    </row>
    <row r="59" spans="1:14" ht="31.5" x14ac:dyDescent="0.25">
      <c r="A59" s="116" t="s">
        <v>195</v>
      </c>
      <c r="B59" s="142" t="s">
        <v>196</v>
      </c>
      <c r="C59" s="116" t="s">
        <v>131</v>
      </c>
      <c r="D59" s="116">
        <v>0.03</v>
      </c>
      <c r="E59" s="150" t="s">
        <v>21</v>
      </c>
      <c r="F59" s="118"/>
      <c r="G59" s="116">
        <v>18</v>
      </c>
      <c r="H59" s="116">
        <v>18</v>
      </c>
      <c r="I59" s="116">
        <v>18</v>
      </c>
      <c r="J59" s="116">
        <v>14</v>
      </c>
      <c r="K59" s="116">
        <v>14</v>
      </c>
      <c r="L59" s="116">
        <v>14</v>
      </c>
      <c r="M59" s="116">
        <v>14</v>
      </c>
      <c r="N59" s="116">
        <v>14</v>
      </c>
    </row>
    <row r="60" spans="1:14" ht="66" customHeight="1" x14ac:dyDescent="0.25">
      <c r="A60" s="116" t="s">
        <v>197</v>
      </c>
      <c r="B60" s="142" t="s">
        <v>198</v>
      </c>
      <c r="C60" s="116" t="s">
        <v>199</v>
      </c>
      <c r="D60" s="116">
        <v>0.01</v>
      </c>
      <c r="E60" s="150" t="s">
        <v>200</v>
      </c>
      <c r="F60" s="118"/>
      <c r="G60" s="116">
        <v>5</v>
      </c>
      <c r="H60" s="116">
        <v>5</v>
      </c>
      <c r="I60" s="116">
        <v>5</v>
      </c>
      <c r="J60" s="116">
        <v>5</v>
      </c>
      <c r="K60" s="116">
        <v>5</v>
      </c>
      <c r="L60" s="116">
        <v>5</v>
      </c>
      <c r="M60" s="116">
        <v>5</v>
      </c>
      <c r="N60" s="116">
        <v>5</v>
      </c>
    </row>
    <row r="61" spans="1:14" ht="47.25" x14ac:dyDescent="0.25">
      <c r="A61" s="116" t="s">
        <v>201</v>
      </c>
      <c r="B61" s="142" t="s">
        <v>202</v>
      </c>
      <c r="C61" s="116" t="s">
        <v>199</v>
      </c>
      <c r="D61" s="116">
        <v>0.01</v>
      </c>
      <c r="E61" s="150" t="s">
        <v>200</v>
      </c>
      <c r="F61" s="118"/>
      <c r="G61" s="35">
        <v>5</v>
      </c>
      <c r="H61" s="35">
        <v>5</v>
      </c>
      <c r="I61" s="35">
        <v>5</v>
      </c>
      <c r="J61" s="35">
        <v>5</v>
      </c>
      <c r="K61" s="35">
        <v>5</v>
      </c>
      <c r="L61" s="35">
        <v>5</v>
      </c>
      <c r="M61" s="35">
        <v>5</v>
      </c>
      <c r="N61" s="35">
        <v>5</v>
      </c>
    </row>
    <row r="62" spans="1:14" ht="126" x14ac:dyDescent="0.25">
      <c r="A62" s="116" t="s">
        <v>203</v>
      </c>
      <c r="B62" s="142" t="s">
        <v>204</v>
      </c>
      <c r="C62" s="116" t="s">
        <v>199</v>
      </c>
      <c r="D62" s="116">
        <v>0.01</v>
      </c>
      <c r="E62" s="150" t="s">
        <v>200</v>
      </c>
      <c r="F62" s="118"/>
      <c r="G62" s="35">
        <v>5</v>
      </c>
      <c r="H62" s="35">
        <v>5</v>
      </c>
      <c r="I62" s="35">
        <v>5</v>
      </c>
      <c r="J62" s="35">
        <v>5</v>
      </c>
      <c r="K62" s="35">
        <v>5</v>
      </c>
      <c r="L62" s="35">
        <v>5</v>
      </c>
      <c r="M62" s="35">
        <v>5</v>
      </c>
      <c r="N62" s="35">
        <v>5</v>
      </c>
    </row>
    <row r="63" spans="1:14" ht="94.5" x14ac:dyDescent="0.25">
      <c r="A63" s="116" t="s">
        <v>205</v>
      </c>
      <c r="B63" s="142" t="s">
        <v>206</v>
      </c>
      <c r="C63" s="116" t="s">
        <v>199</v>
      </c>
      <c r="D63" s="116">
        <v>0.01</v>
      </c>
      <c r="E63" s="150" t="s">
        <v>200</v>
      </c>
      <c r="F63" s="118"/>
      <c r="G63" s="35">
        <v>5</v>
      </c>
      <c r="H63" s="35">
        <v>5</v>
      </c>
      <c r="I63" s="35">
        <v>5</v>
      </c>
      <c r="J63" s="35">
        <v>5</v>
      </c>
      <c r="K63" s="35">
        <v>5</v>
      </c>
      <c r="L63" s="35">
        <v>5</v>
      </c>
      <c r="M63" s="35">
        <v>5</v>
      </c>
      <c r="N63" s="35">
        <v>5</v>
      </c>
    </row>
    <row r="64" spans="1:14" ht="47.25" x14ac:dyDescent="0.25">
      <c r="A64" s="116" t="s">
        <v>207</v>
      </c>
      <c r="B64" s="151" t="s">
        <v>208</v>
      </c>
      <c r="C64" s="116" t="s">
        <v>199</v>
      </c>
      <c r="D64" s="116">
        <v>0.01</v>
      </c>
      <c r="E64" s="150" t="s">
        <v>200</v>
      </c>
      <c r="F64" s="118"/>
      <c r="G64" s="35">
        <v>5</v>
      </c>
      <c r="H64" s="35">
        <v>5</v>
      </c>
      <c r="I64" s="35">
        <v>5</v>
      </c>
      <c r="J64" s="35">
        <v>5</v>
      </c>
      <c r="K64" s="35">
        <v>5</v>
      </c>
      <c r="L64" s="35">
        <v>5</v>
      </c>
      <c r="M64" s="35">
        <v>5</v>
      </c>
      <c r="N64" s="35">
        <v>5</v>
      </c>
    </row>
    <row r="65" spans="1:14" ht="47.25" x14ac:dyDescent="0.25">
      <c r="A65" s="116" t="s">
        <v>209</v>
      </c>
      <c r="B65" s="151" t="s">
        <v>210</v>
      </c>
      <c r="C65" s="116" t="s">
        <v>199</v>
      </c>
      <c r="D65" s="116">
        <v>0.01</v>
      </c>
      <c r="E65" s="150" t="s">
        <v>200</v>
      </c>
      <c r="F65" s="118"/>
      <c r="G65" s="35">
        <v>5</v>
      </c>
      <c r="H65" s="35">
        <v>5</v>
      </c>
      <c r="I65" s="35">
        <v>5</v>
      </c>
      <c r="J65" s="35">
        <v>5</v>
      </c>
      <c r="K65" s="35">
        <v>5</v>
      </c>
      <c r="L65" s="35">
        <v>5</v>
      </c>
      <c r="M65" s="35">
        <v>5</v>
      </c>
      <c r="N65" s="35">
        <v>5</v>
      </c>
    </row>
    <row r="66" spans="1:14" ht="47.25" x14ac:dyDescent="0.25">
      <c r="A66" s="36" t="s">
        <v>211</v>
      </c>
      <c r="B66" s="142" t="s">
        <v>212</v>
      </c>
      <c r="C66" s="116" t="s">
        <v>199</v>
      </c>
      <c r="D66" s="116">
        <v>0.01</v>
      </c>
      <c r="E66" s="150" t="s">
        <v>200</v>
      </c>
      <c r="F66" s="118"/>
      <c r="G66" s="35">
        <v>5</v>
      </c>
      <c r="H66" s="35">
        <v>5</v>
      </c>
      <c r="I66" s="35">
        <v>5</v>
      </c>
      <c r="J66" s="35">
        <v>5</v>
      </c>
      <c r="K66" s="35">
        <v>5</v>
      </c>
      <c r="L66" s="35">
        <v>5</v>
      </c>
      <c r="M66" s="35">
        <v>5</v>
      </c>
      <c r="N66" s="35">
        <v>5</v>
      </c>
    </row>
    <row r="67" spans="1:14" ht="47.25" x14ac:dyDescent="0.25">
      <c r="A67" s="36" t="s">
        <v>213</v>
      </c>
      <c r="B67" s="142" t="s">
        <v>214</v>
      </c>
      <c r="C67" s="116" t="s">
        <v>199</v>
      </c>
      <c r="D67" s="116">
        <v>0.01</v>
      </c>
      <c r="E67" s="150" t="s">
        <v>200</v>
      </c>
      <c r="F67" s="118"/>
      <c r="G67" s="35">
        <v>5</v>
      </c>
      <c r="H67" s="35">
        <v>5</v>
      </c>
      <c r="I67" s="35">
        <v>5</v>
      </c>
      <c r="J67" s="35">
        <v>5</v>
      </c>
      <c r="K67" s="35">
        <v>5</v>
      </c>
      <c r="L67" s="35">
        <v>5</v>
      </c>
      <c r="M67" s="35">
        <v>5</v>
      </c>
      <c r="N67" s="35">
        <v>5</v>
      </c>
    </row>
    <row r="68" spans="1:14" ht="47.25" x14ac:dyDescent="0.25">
      <c r="A68" s="36" t="s">
        <v>215</v>
      </c>
      <c r="B68" s="142" t="s">
        <v>216</v>
      </c>
      <c r="C68" s="116" t="s">
        <v>199</v>
      </c>
      <c r="D68" s="116">
        <v>0.01</v>
      </c>
      <c r="E68" s="150" t="s">
        <v>200</v>
      </c>
      <c r="F68" s="118"/>
      <c r="G68" s="35">
        <v>5</v>
      </c>
      <c r="H68" s="35">
        <v>5</v>
      </c>
      <c r="I68" s="35">
        <v>5</v>
      </c>
      <c r="J68" s="35">
        <v>5</v>
      </c>
      <c r="K68" s="35">
        <v>5</v>
      </c>
      <c r="L68" s="35">
        <v>5</v>
      </c>
      <c r="M68" s="35">
        <v>5</v>
      </c>
      <c r="N68" s="35">
        <v>5</v>
      </c>
    </row>
    <row r="69" spans="1:14" ht="47.25" x14ac:dyDescent="0.25">
      <c r="A69" s="36" t="s">
        <v>217</v>
      </c>
      <c r="B69" s="142" t="s">
        <v>218</v>
      </c>
      <c r="C69" s="116" t="s">
        <v>199</v>
      </c>
      <c r="D69" s="116">
        <v>0.01</v>
      </c>
      <c r="E69" s="150" t="s">
        <v>200</v>
      </c>
      <c r="F69" s="118"/>
      <c r="G69" s="35">
        <v>5</v>
      </c>
      <c r="H69" s="35">
        <v>5</v>
      </c>
      <c r="I69" s="35">
        <v>5</v>
      </c>
      <c r="J69" s="35">
        <v>5</v>
      </c>
      <c r="K69" s="35">
        <v>5</v>
      </c>
      <c r="L69" s="35">
        <v>5</v>
      </c>
      <c r="M69" s="35">
        <v>5</v>
      </c>
      <c r="N69" s="35">
        <v>5</v>
      </c>
    </row>
    <row r="70" spans="1:14" ht="47.25" x14ac:dyDescent="0.25">
      <c r="A70" s="36" t="s">
        <v>219</v>
      </c>
      <c r="B70" s="142" t="s">
        <v>220</v>
      </c>
      <c r="C70" s="116" t="s">
        <v>199</v>
      </c>
      <c r="D70" s="116">
        <v>0.01</v>
      </c>
      <c r="E70" s="150" t="s">
        <v>200</v>
      </c>
      <c r="F70" s="118"/>
      <c r="G70" s="35">
        <v>5</v>
      </c>
      <c r="H70" s="35">
        <v>5</v>
      </c>
      <c r="I70" s="35">
        <v>5</v>
      </c>
      <c r="J70" s="35">
        <v>5</v>
      </c>
      <c r="K70" s="35">
        <v>5</v>
      </c>
      <c r="L70" s="35">
        <v>5</v>
      </c>
      <c r="M70" s="35">
        <v>5</v>
      </c>
      <c r="N70" s="35">
        <v>5</v>
      </c>
    </row>
    <row r="71" spans="1:14" s="82" customFormat="1" x14ac:dyDescent="0.25">
      <c r="A71" s="124" t="s">
        <v>221</v>
      </c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</row>
    <row r="72" spans="1:14" s="154" customFormat="1" ht="47.25" x14ac:dyDescent="0.25">
      <c r="A72" s="152" t="s">
        <v>222</v>
      </c>
      <c r="B72" s="153" t="s">
        <v>223</v>
      </c>
      <c r="C72" s="37" t="s">
        <v>96</v>
      </c>
      <c r="D72" s="116">
        <v>0.03</v>
      </c>
      <c r="E72" s="116" t="s">
        <v>101</v>
      </c>
      <c r="F72" s="152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16">
        <v>71</v>
      </c>
      <c r="M72" s="116">
        <v>71</v>
      </c>
      <c r="N72" s="116">
        <v>71</v>
      </c>
    </row>
    <row r="73" spans="1:14" s="154" customFormat="1" x14ac:dyDescent="0.25">
      <c r="A73" s="155" t="s">
        <v>224</v>
      </c>
      <c r="B73" s="156" t="s">
        <v>225</v>
      </c>
      <c r="C73" s="157" t="s">
        <v>226</v>
      </c>
      <c r="D73" s="114">
        <v>0.03</v>
      </c>
      <c r="E73" s="114" t="s">
        <v>101</v>
      </c>
      <c r="F73" s="152"/>
      <c r="G73" s="114" t="s">
        <v>227</v>
      </c>
      <c r="H73" s="114" t="s">
        <v>228</v>
      </c>
      <c r="I73" s="114" t="s">
        <v>229</v>
      </c>
      <c r="J73" s="114" t="s">
        <v>230</v>
      </c>
      <c r="K73" s="114" t="s">
        <v>231</v>
      </c>
      <c r="L73" s="114" t="s">
        <v>232</v>
      </c>
      <c r="M73" s="114" t="s">
        <v>233</v>
      </c>
      <c r="N73" s="114" t="s">
        <v>233</v>
      </c>
    </row>
    <row r="74" spans="1:14" s="82" customFormat="1" x14ac:dyDescent="0.25">
      <c r="A74" s="155"/>
      <c r="B74" s="156"/>
      <c r="C74" s="157"/>
      <c r="D74" s="114"/>
      <c r="E74" s="114"/>
      <c r="F74" s="152"/>
      <c r="G74" s="114"/>
      <c r="H74" s="114"/>
      <c r="I74" s="114"/>
      <c r="J74" s="114"/>
      <c r="K74" s="114"/>
      <c r="L74" s="114"/>
      <c r="M74" s="114"/>
      <c r="N74" s="114"/>
    </row>
    <row r="76" spans="1:14" x14ac:dyDescent="0.25">
      <c r="A76" s="158" t="s">
        <v>33</v>
      </c>
      <c r="B76" s="158"/>
      <c r="C76" s="158"/>
      <c r="D76" s="158"/>
      <c r="E76" s="158"/>
      <c r="F76" s="158"/>
      <c r="G76" s="158"/>
      <c r="H76" s="158"/>
      <c r="I76" s="158"/>
      <c r="J76" s="159" t="s">
        <v>34</v>
      </c>
      <c r="K76" s="159"/>
      <c r="L76" s="159"/>
      <c r="M76" s="159"/>
      <c r="N76" s="160"/>
    </row>
  </sheetData>
  <mergeCells count="49">
    <mergeCell ref="N73:N74"/>
    <mergeCell ref="A76:I76"/>
    <mergeCell ref="J76:M76"/>
    <mergeCell ref="H73:H74"/>
    <mergeCell ref="I73:I74"/>
    <mergeCell ref="J73:J74"/>
    <mergeCell ref="K73:K74"/>
    <mergeCell ref="L73:L74"/>
    <mergeCell ref="M73:M74"/>
    <mergeCell ref="A73:A74"/>
    <mergeCell ref="B73:B74"/>
    <mergeCell ref="C73:C74"/>
    <mergeCell ref="D73:D74"/>
    <mergeCell ref="E73:E74"/>
    <mergeCell ref="G73:G74"/>
    <mergeCell ref="A45:N45"/>
    <mergeCell ref="A47:N47"/>
    <mergeCell ref="A50:N50"/>
    <mergeCell ref="A51:N51"/>
    <mergeCell ref="A52:N52"/>
    <mergeCell ref="A71:N71"/>
    <mergeCell ref="A20:N20"/>
    <mergeCell ref="A26:N26"/>
    <mergeCell ref="A37:N37"/>
    <mergeCell ref="A41:N41"/>
    <mergeCell ref="A43:N43"/>
    <mergeCell ref="A44:N44"/>
    <mergeCell ref="A6:N6"/>
    <mergeCell ref="A11:N11"/>
    <mergeCell ref="A12:N12"/>
    <mergeCell ref="A13:N13"/>
    <mergeCell ref="A18:N18"/>
    <mergeCell ref="A19:N19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5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I7" sqref="I7"/>
    </sheetView>
  </sheetViews>
  <sheetFormatPr defaultRowHeight="15.75" x14ac:dyDescent="0.25"/>
  <cols>
    <col min="1" max="1" width="5.140625" style="46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16384" width="9.140625" style="1"/>
  </cols>
  <sheetData>
    <row r="1" spans="1:17" ht="78" customHeight="1" x14ac:dyDescent="0.25">
      <c r="K1" s="162"/>
      <c r="L1" s="162"/>
      <c r="M1" s="163" t="s">
        <v>234</v>
      </c>
      <c r="N1" s="163"/>
      <c r="O1" s="163"/>
      <c r="P1" s="163"/>
      <c r="Q1" s="163"/>
    </row>
    <row r="2" spans="1:17" ht="34.5" customHeight="1" x14ac:dyDescent="0.25">
      <c r="A2" s="164" t="s">
        <v>235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17" ht="17.25" customHeight="1" x14ac:dyDescent="0.25">
      <c r="A3" s="7" t="s">
        <v>88</v>
      </c>
      <c r="B3" s="7" t="s">
        <v>236</v>
      </c>
      <c r="C3" s="7" t="s">
        <v>90</v>
      </c>
      <c r="D3" s="51" t="s">
        <v>237</v>
      </c>
      <c r="E3" s="51" t="s">
        <v>93</v>
      </c>
      <c r="F3" s="51" t="s">
        <v>238</v>
      </c>
      <c r="G3" s="41" t="s">
        <v>239</v>
      </c>
      <c r="H3" s="14" t="s">
        <v>41</v>
      </c>
      <c r="I3" s="165" t="s">
        <v>240</v>
      </c>
      <c r="J3" s="166"/>
      <c r="K3" s="165" t="s">
        <v>241</v>
      </c>
      <c r="L3" s="167"/>
      <c r="M3" s="167"/>
      <c r="N3" s="167"/>
      <c r="O3" s="167"/>
      <c r="P3" s="167"/>
      <c r="Q3" s="166"/>
    </row>
    <row r="4" spans="1:17" ht="33" customHeight="1" x14ac:dyDescent="0.25">
      <c r="A4" s="7"/>
      <c r="B4" s="7"/>
      <c r="C4" s="7"/>
      <c r="D4" s="51"/>
      <c r="E4" s="51"/>
      <c r="F4" s="51"/>
      <c r="G4" s="76"/>
      <c r="H4" s="32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7" t="s">
        <v>242</v>
      </c>
    </row>
    <row r="5" spans="1:17" ht="55.15" customHeight="1" x14ac:dyDescent="0.25">
      <c r="A5" s="168" t="s">
        <v>94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70"/>
    </row>
    <row r="6" spans="1:17" ht="56.25" customHeight="1" x14ac:dyDescent="0.25">
      <c r="A6" s="11">
        <v>1</v>
      </c>
      <c r="B6" s="115" t="s">
        <v>95</v>
      </c>
      <c r="C6" s="35" t="s">
        <v>96</v>
      </c>
      <c r="D6" s="171">
        <v>54.1</v>
      </c>
      <c r="E6" s="122">
        <v>2.34</v>
      </c>
      <c r="F6" s="119">
        <v>94</v>
      </c>
      <c r="G6" s="119">
        <v>94.5</v>
      </c>
      <c r="H6" s="119">
        <v>95</v>
      </c>
      <c r="I6" s="119">
        <v>95</v>
      </c>
      <c r="J6" s="119">
        <v>96</v>
      </c>
      <c r="K6" s="119">
        <v>96.2</v>
      </c>
      <c r="L6" s="119">
        <v>96.3</v>
      </c>
      <c r="M6" s="119">
        <v>96.4</v>
      </c>
      <c r="N6" s="119">
        <v>96.4</v>
      </c>
      <c r="O6" s="119">
        <v>96.5</v>
      </c>
      <c r="P6" s="119">
        <v>96.5</v>
      </c>
      <c r="Q6" s="119">
        <v>96.6</v>
      </c>
    </row>
    <row r="7" spans="1:17" ht="108" customHeight="1" x14ac:dyDescent="0.25">
      <c r="A7" s="12">
        <v>2</v>
      </c>
      <c r="B7" s="115" t="s">
        <v>100</v>
      </c>
      <c r="C7" s="35" t="s">
        <v>96</v>
      </c>
      <c r="D7" s="116" t="e">
        <f>#REF!</f>
        <v>#REF!</v>
      </c>
      <c r="E7" s="122">
        <v>60.5</v>
      </c>
      <c r="F7" s="37">
        <v>82.4</v>
      </c>
      <c r="G7" s="37">
        <v>86.6</v>
      </c>
      <c r="H7" s="37">
        <v>91.3</v>
      </c>
      <c r="I7" s="37">
        <v>100</v>
      </c>
      <c r="J7" s="37">
        <v>100</v>
      </c>
      <c r="K7" s="37">
        <v>100</v>
      </c>
      <c r="L7" s="37">
        <v>100</v>
      </c>
      <c r="M7" s="37">
        <v>100</v>
      </c>
      <c r="N7" s="37">
        <v>100</v>
      </c>
      <c r="O7" s="37">
        <v>100</v>
      </c>
      <c r="P7" s="37">
        <v>100</v>
      </c>
      <c r="Q7" s="37">
        <v>100</v>
      </c>
    </row>
    <row r="8" spans="1:17" ht="89.25" customHeight="1" x14ac:dyDescent="0.25">
      <c r="A8" s="11">
        <v>3</v>
      </c>
      <c r="B8" s="120" t="s">
        <v>103</v>
      </c>
      <c r="C8" s="116" t="s">
        <v>96</v>
      </c>
      <c r="D8" s="172">
        <v>95.6</v>
      </c>
      <c r="E8" s="173">
        <v>96.7</v>
      </c>
      <c r="F8" s="121">
        <v>98.53</v>
      </c>
      <c r="G8" s="121">
        <v>98.04</v>
      </c>
      <c r="H8" s="121">
        <v>98.53</v>
      </c>
      <c r="I8" s="121">
        <v>98.6</v>
      </c>
      <c r="J8" s="121">
        <v>98.6</v>
      </c>
      <c r="K8" s="121">
        <v>100</v>
      </c>
      <c r="L8" s="121">
        <v>100</v>
      </c>
      <c r="M8" s="121">
        <v>100</v>
      </c>
      <c r="N8" s="121">
        <v>100</v>
      </c>
      <c r="O8" s="121">
        <v>100</v>
      </c>
      <c r="P8" s="121">
        <v>100</v>
      </c>
      <c r="Q8" s="121">
        <v>100</v>
      </c>
    </row>
    <row r="9" spans="1:17" ht="85.5" customHeight="1" x14ac:dyDescent="0.25">
      <c r="A9" s="11">
        <v>4</v>
      </c>
      <c r="B9" s="115" t="s">
        <v>105</v>
      </c>
      <c r="C9" s="35" t="s">
        <v>243</v>
      </c>
      <c r="D9" s="172"/>
      <c r="E9" s="173"/>
      <c r="F9" s="123">
        <v>67</v>
      </c>
      <c r="G9" s="123">
        <v>67</v>
      </c>
      <c r="H9" s="123">
        <v>67</v>
      </c>
      <c r="I9" s="123">
        <v>83</v>
      </c>
      <c r="J9" s="123">
        <v>83</v>
      </c>
      <c r="K9" s="123">
        <v>83</v>
      </c>
      <c r="L9" s="123">
        <v>83</v>
      </c>
      <c r="M9" s="123">
        <v>83</v>
      </c>
      <c r="N9" s="123">
        <v>100</v>
      </c>
      <c r="O9" s="123">
        <v>100</v>
      </c>
      <c r="P9" s="123">
        <v>100</v>
      </c>
      <c r="Q9" s="123">
        <v>100</v>
      </c>
    </row>
    <row r="10" spans="1:17" ht="35.25" customHeight="1" x14ac:dyDescent="0.25">
      <c r="A10" s="174" t="s">
        <v>33</v>
      </c>
      <c r="B10" s="174"/>
      <c r="C10" s="174"/>
      <c r="D10" s="174"/>
      <c r="E10" s="174"/>
      <c r="F10" s="175"/>
      <c r="G10" s="82"/>
      <c r="H10" s="82"/>
      <c r="I10" s="82"/>
      <c r="J10" s="82"/>
      <c r="K10" s="82"/>
      <c r="L10" s="82"/>
      <c r="M10" s="176" t="s">
        <v>34</v>
      </c>
      <c r="N10" s="176"/>
      <c r="O10" s="176"/>
      <c r="P10" s="176"/>
      <c r="Q10" s="177"/>
    </row>
    <row r="15" spans="1:17" x14ac:dyDescent="0.25">
      <c r="D15" s="178"/>
      <c r="E15" s="178"/>
      <c r="F15" s="179"/>
      <c r="G15" s="178"/>
    </row>
    <row r="16" spans="1:17" x14ac:dyDescent="0.25">
      <c r="D16" s="180"/>
      <c r="E16" s="181"/>
      <c r="F16" s="182"/>
      <c r="G16" s="181"/>
    </row>
    <row r="17" spans="4:7" x14ac:dyDescent="0.25">
      <c r="D17" s="183"/>
      <c r="E17" s="183"/>
      <c r="F17" s="184"/>
      <c r="G17" s="183"/>
    </row>
  </sheetData>
  <mergeCells count="15">
    <mergeCell ref="I3:J3"/>
    <mergeCell ref="K3:Q3"/>
    <mergeCell ref="A5:Q5"/>
    <mergeCell ref="A10:E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7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F9" sqref="F9"/>
    </sheetView>
  </sheetViews>
  <sheetFormatPr defaultRowHeight="15.75" x14ac:dyDescent="0.25"/>
  <cols>
    <col min="1" max="1" width="6.28515625" style="161" customWidth="1"/>
    <col min="2" max="2" width="79.140625" style="54" customWidth="1"/>
    <col min="3" max="3" width="12" style="54" customWidth="1"/>
    <col min="4" max="7" width="11.42578125" style="54" customWidth="1"/>
    <col min="8" max="10" width="11.42578125" style="82" customWidth="1"/>
    <col min="11" max="11" width="9.140625" style="82"/>
    <col min="12" max="16384" width="9.140625" style="54"/>
  </cols>
  <sheetData>
    <row r="1" spans="1:17" ht="51.75" customHeight="1" x14ac:dyDescent="0.25">
      <c r="A1" s="107"/>
      <c r="B1" s="108"/>
      <c r="C1" s="109"/>
      <c r="E1" s="110" t="s">
        <v>244</v>
      </c>
      <c r="F1" s="110"/>
      <c r="G1" s="110"/>
      <c r="H1" s="110"/>
      <c r="I1" s="110"/>
      <c r="J1" s="110"/>
    </row>
    <row r="2" spans="1:17" ht="37.5" customHeight="1" x14ac:dyDescent="0.25">
      <c r="A2" s="185" t="s">
        <v>245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7" ht="25.5" customHeight="1" x14ac:dyDescent="0.25">
      <c r="A3" s="186" t="s">
        <v>88</v>
      </c>
      <c r="B3" s="187" t="s">
        <v>246</v>
      </c>
      <c r="C3" s="187" t="s">
        <v>90</v>
      </c>
      <c r="D3" s="41" t="s">
        <v>92</v>
      </c>
      <c r="E3" s="41" t="s">
        <v>41</v>
      </c>
      <c r="F3" s="41" t="s">
        <v>42</v>
      </c>
      <c r="G3" s="41" t="s">
        <v>43</v>
      </c>
      <c r="H3" s="61" t="s">
        <v>44</v>
      </c>
      <c r="I3" s="61" t="s">
        <v>45</v>
      </c>
      <c r="J3" s="61" t="s">
        <v>46</v>
      </c>
      <c r="K3" s="61" t="s">
        <v>47</v>
      </c>
      <c r="L3" s="61" t="s">
        <v>48</v>
      </c>
      <c r="M3" s="61" t="s">
        <v>49</v>
      </c>
    </row>
    <row r="4" spans="1:17" ht="25.5" customHeight="1" x14ac:dyDescent="0.25">
      <c r="A4" s="188"/>
      <c r="B4" s="189"/>
      <c r="C4" s="189"/>
      <c r="D4" s="43"/>
      <c r="E4" s="190"/>
      <c r="F4" s="191"/>
      <c r="G4" s="43"/>
      <c r="H4" s="63"/>
      <c r="I4" s="63"/>
      <c r="J4" s="63"/>
      <c r="K4" s="63"/>
      <c r="L4" s="63"/>
      <c r="M4" s="63"/>
    </row>
    <row r="5" spans="1:17" ht="25.5" customHeight="1" x14ac:dyDescent="0.25">
      <c r="A5" s="192"/>
      <c r="B5" s="193"/>
      <c r="C5" s="193"/>
      <c r="D5" s="76"/>
      <c r="E5" s="194"/>
      <c r="F5" s="195"/>
      <c r="G5" s="76"/>
      <c r="H5" s="196"/>
      <c r="I5" s="196"/>
      <c r="J5" s="196"/>
      <c r="K5" s="196"/>
      <c r="L5" s="196"/>
      <c r="M5" s="196"/>
    </row>
    <row r="6" spans="1:17" ht="39.75" customHeight="1" x14ac:dyDescent="0.25">
      <c r="A6" s="197" t="s">
        <v>247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</row>
    <row r="7" spans="1:17" ht="33" customHeight="1" x14ac:dyDescent="0.25">
      <c r="A7" s="199" t="s">
        <v>248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</row>
    <row r="8" spans="1:17" ht="47.25" customHeight="1" x14ac:dyDescent="0.25">
      <c r="A8" s="201" t="s">
        <v>249</v>
      </c>
      <c r="B8" s="140" t="s">
        <v>110</v>
      </c>
      <c r="C8" s="37" t="s">
        <v>96</v>
      </c>
      <c r="D8" s="125" t="s">
        <v>111</v>
      </c>
      <c r="E8" s="202">
        <v>90.1</v>
      </c>
      <c r="F8" s="203">
        <v>97.5</v>
      </c>
      <c r="G8" s="126">
        <v>100</v>
      </c>
      <c r="H8" s="126">
        <v>100</v>
      </c>
      <c r="I8" s="126">
        <v>100</v>
      </c>
      <c r="J8" s="126">
        <v>100</v>
      </c>
      <c r="K8" s="126">
        <v>100</v>
      </c>
      <c r="L8" s="126">
        <v>100</v>
      </c>
      <c r="M8" s="126">
        <v>100</v>
      </c>
    </row>
    <row r="9" spans="1:17" ht="72.75" customHeight="1" x14ac:dyDescent="0.25">
      <c r="A9" s="201" t="s">
        <v>250</v>
      </c>
      <c r="B9" s="140" t="s">
        <v>113</v>
      </c>
      <c r="C9" s="37" t="s">
        <v>96</v>
      </c>
      <c r="D9" s="204" t="s">
        <v>111</v>
      </c>
      <c r="E9" s="12">
        <v>85</v>
      </c>
      <c r="F9" s="127">
        <v>97</v>
      </c>
      <c r="G9" s="205">
        <v>100</v>
      </c>
      <c r="H9" s="205">
        <v>100</v>
      </c>
      <c r="I9" s="205">
        <v>100</v>
      </c>
      <c r="J9" s="205">
        <v>100</v>
      </c>
      <c r="K9" s="205">
        <v>100</v>
      </c>
      <c r="L9" s="126">
        <v>100</v>
      </c>
      <c r="M9" s="126">
        <v>100</v>
      </c>
    </row>
    <row r="10" spans="1:17" ht="105" customHeight="1" x14ac:dyDescent="0.25">
      <c r="A10" s="201" t="s">
        <v>251</v>
      </c>
      <c r="B10" s="140" t="s">
        <v>252</v>
      </c>
      <c r="C10" s="37" t="s">
        <v>96</v>
      </c>
      <c r="D10" s="125" t="s">
        <v>111</v>
      </c>
      <c r="E10" s="206">
        <v>0</v>
      </c>
      <c r="F10" s="207">
        <v>0</v>
      </c>
      <c r="G10" s="126">
        <v>0</v>
      </c>
      <c r="H10" s="126">
        <v>100</v>
      </c>
      <c r="I10" s="126">
        <v>100</v>
      </c>
      <c r="J10" s="126">
        <v>100</v>
      </c>
      <c r="K10" s="126">
        <v>100</v>
      </c>
      <c r="L10" s="126">
        <v>100</v>
      </c>
      <c r="M10" s="126">
        <v>100</v>
      </c>
      <c r="N10" s="208"/>
      <c r="O10" s="208"/>
      <c r="P10" s="208"/>
      <c r="Q10" s="208"/>
    </row>
    <row r="11" spans="1:17" ht="118.5" customHeight="1" x14ac:dyDescent="0.25">
      <c r="A11" s="201" t="s">
        <v>253</v>
      </c>
      <c r="B11" s="209" t="s">
        <v>254</v>
      </c>
      <c r="C11" s="37" t="s">
        <v>96</v>
      </c>
      <c r="D11" s="125" t="s">
        <v>111</v>
      </c>
      <c r="E11" s="35" t="s">
        <v>119</v>
      </c>
      <c r="F11" s="126" t="s">
        <v>120</v>
      </c>
      <c r="G11" s="126">
        <v>0</v>
      </c>
      <c r="H11" s="126">
        <v>0</v>
      </c>
      <c r="I11" s="126" t="s">
        <v>120</v>
      </c>
      <c r="J11" s="126" t="s">
        <v>120</v>
      </c>
      <c r="K11" s="126" t="s">
        <v>120</v>
      </c>
      <c r="L11" s="126" t="s">
        <v>120</v>
      </c>
      <c r="M11" s="126" t="s">
        <v>120</v>
      </c>
      <c r="N11" s="208"/>
      <c r="O11" s="208"/>
      <c r="P11" s="208"/>
      <c r="Q11" s="208"/>
    </row>
    <row r="12" spans="1:17" ht="20.25" customHeight="1" x14ac:dyDescent="0.25">
      <c r="A12" s="210"/>
      <c r="B12" s="211"/>
      <c r="C12" s="212"/>
      <c r="D12" s="213"/>
      <c r="E12" s="213"/>
      <c r="F12" s="213"/>
      <c r="G12" s="213"/>
      <c r="H12" s="214"/>
      <c r="I12" s="214"/>
      <c r="J12" s="214"/>
    </row>
    <row r="13" spans="1:17" ht="26.25" customHeight="1" x14ac:dyDescent="0.25">
      <c r="A13" s="215" t="s">
        <v>33</v>
      </c>
      <c r="B13" s="215"/>
      <c r="C13" s="215"/>
      <c r="G13" s="79"/>
      <c r="H13" s="216" t="s">
        <v>255</v>
      </c>
      <c r="I13" s="216"/>
      <c r="J13" s="217"/>
    </row>
  </sheetData>
  <mergeCells count="17">
    <mergeCell ref="A7:L7"/>
    <mergeCell ref="I3:I5"/>
    <mergeCell ref="J3:J5"/>
    <mergeCell ref="K3:K5"/>
    <mergeCell ref="L3:L5"/>
    <mergeCell ref="M3:M5"/>
    <mergeCell ref="A6:L6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7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94"/>
  <sheetViews>
    <sheetView view="pageBreakPreview" zoomScale="98" zoomScaleNormal="98" zoomScaleSheetLayoutView="98" workbookViewId="0">
      <pane xSplit="3" ySplit="6" topLeftCell="O49" activePane="bottomRight" state="frozen"/>
      <selection activeCell="Q12" sqref="Q12"/>
      <selection pane="topRight" activeCell="Q12" sqref="Q12"/>
      <selection pane="bottomLeft" activeCell="Q12" sqref="Q12"/>
      <selection pane="bottomRight" activeCell="C52" sqref="C52"/>
    </sheetView>
  </sheetViews>
  <sheetFormatPr defaultColWidth="9.28515625" defaultRowHeight="15.75" x14ac:dyDescent="0.25"/>
  <cols>
    <col min="1" max="1" width="8.42578125" style="293" customWidth="1"/>
    <col min="2" max="2" width="60.7109375" style="54" customWidth="1"/>
    <col min="3" max="3" width="21.7109375" style="294" customWidth="1"/>
    <col min="4" max="5" width="9.28515625" style="294"/>
    <col min="6" max="6" width="13.85546875" style="294" bestFit="1" customWidth="1"/>
    <col min="7" max="7" width="9.28515625" style="294"/>
    <col min="8" max="8" width="14.28515625" style="294" customWidth="1"/>
    <col min="9" max="10" width="17.7109375" style="54" customWidth="1"/>
    <col min="11" max="16" width="18.28515625" style="54" customWidth="1"/>
    <col min="17" max="17" width="17.7109375" style="54" customWidth="1"/>
    <col min="18" max="18" width="55.5703125" style="54" customWidth="1"/>
    <col min="19" max="19" width="12" style="54" customWidth="1"/>
    <col min="20" max="20" width="15.42578125" style="54" customWidth="1"/>
    <col min="21" max="21" width="21.28515625" style="54" customWidth="1"/>
    <col min="22" max="16384" width="9.28515625" style="54"/>
  </cols>
  <sheetData>
    <row r="1" spans="1:21" s="179" customFormat="1" ht="75" customHeight="1" x14ac:dyDescent="0.25">
      <c r="A1" s="218"/>
      <c r="B1" s="219"/>
      <c r="C1" s="220"/>
      <c r="D1" s="220"/>
      <c r="E1" s="220"/>
      <c r="F1" s="220"/>
      <c r="G1" s="220"/>
      <c r="H1" s="220"/>
      <c r="I1" s="221"/>
      <c r="J1" s="221"/>
      <c r="Q1" s="222" t="s">
        <v>256</v>
      </c>
      <c r="R1" s="222"/>
      <c r="S1" s="223"/>
      <c r="T1" s="223"/>
      <c r="U1" s="223"/>
    </row>
    <row r="2" spans="1:21" s="179" customFormat="1" ht="23.25" customHeight="1" x14ac:dyDescent="0.25">
      <c r="A2" s="224" t="s">
        <v>257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1:21" s="179" customFormat="1" ht="24.75" customHeight="1" x14ac:dyDescent="0.25">
      <c r="A3" s="51" t="s">
        <v>88</v>
      </c>
      <c r="B3" s="51" t="s">
        <v>258</v>
      </c>
      <c r="C3" s="51" t="s">
        <v>7</v>
      </c>
      <c r="D3" s="51" t="s">
        <v>5</v>
      </c>
      <c r="E3" s="51"/>
      <c r="F3" s="51"/>
      <c r="G3" s="51"/>
      <c r="H3" s="12"/>
      <c r="I3" s="51" t="s">
        <v>6</v>
      </c>
      <c r="J3" s="51"/>
      <c r="K3" s="51"/>
      <c r="L3" s="51"/>
      <c r="M3" s="51"/>
      <c r="N3" s="51"/>
      <c r="O3" s="51"/>
      <c r="P3" s="51"/>
      <c r="Q3" s="51"/>
      <c r="R3" s="51" t="s">
        <v>259</v>
      </c>
    </row>
    <row r="4" spans="1:21" s="179" customFormat="1" ht="42" customHeight="1" x14ac:dyDescent="0.25">
      <c r="A4" s="51"/>
      <c r="B4" s="51"/>
      <c r="C4" s="51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1"/>
    </row>
    <row r="5" spans="1:21" ht="26.25" customHeight="1" x14ac:dyDescent="0.25">
      <c r="A5" s="34" t="s">
        <v>247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4" customHeight="1" x14ac:dyDescent="0.25">
      <c r="A6" s="225" t="s">
        <v>248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</row>
    <row r="7" spans="1:21" ht="24.95" customHeight="1" x14ac:dyDescent="0.25">
      <c r="A7" s="226" t="s">
        <v>109</v>
      </c>
      <c r="B7" s="227" t="s">
        <v>260</v>
      </c>
      <c r="C7" s="226" t="s">
        <v>261</v>
      </c>
      <c r="D7" s="228" t="s">
        <v>18</v>
      </c>
      <c r="E7" s="228" t="s">
        <v>262</v>
      </c>
      <c r="F7" s="228" t="s">
        <v>263</v>
      </c>
      <c r="G7" s="228" t="s">
        <v>264</v>
      </c>
      <c r="H7" s="229">
        <v>69765.3</v>
      </c>
      <c r="I7" s="229">
        <v>78566.5</v>
      </c>
      <c r="J7" s="229">
        <v>53980.2</v>
      </c>
      <c r="K7" s="230">
        <v>48275.5</v>
      </c>
      <c r="L7" s="230">
        <v>47527.3</v>
      </c>
      <c r="M7" s="230">
        <v>51464.5</v>
      </c>
      <c r="N7" s="230">
        <v>47531.6</v>
      </c>
      <c r="O7" s="230">
        <v>47531.6</v>
      </c>
      <c r="P7" s="230">
        <f>O7</f>
        <v>47531.6</v>
      </c>
      <c r="Q7" s="230">
        <f>SUM(H7:P7)</f>
        <v>492174.09999999992</v>
      </c>
      <c r="R7" s="41" t="s">
        <v>265</v>
      </c>
    </row>
    <row r="8" spans="1:21" ht="24.95" customHeight="1" x14ac:dyDescent="0.25">
      <c r="A8" s="231"/>
      <c r="B8" s="232"/>
      <c r="C8" s="231"/>
      <c r="D8" s="228" t="s">
        <v>18</v>
      </c>
      <c r="E8" s="228" t="s">
        <v>262</v>
      </c>
      <c r="F8" s="228" t="s">
        <v>263</v>
      </c>
      <c r="G8" s="228" t="s">
        <v>266</v>
      </c>
      <c r="H8" s="229">
        <v>2247.3000000000002</v>
      </c>
      <c r="I8" s="229">
        <v>6941.5</v>
      </c>
      <c r="J8" s="229">
        <v>7305.1</v>
      </c>
      <c r="K8" s="230">
        <v>3060.4</v>
      </c>
      <c r="L8" s="230">
        <v>788.7</v>
      </c>
      <c r="M8" s="230">
        <v>2751.6</v>
      </c>
      <c r="N8" s="230"/>
      <c r="O8" s="230"/>
      <c r="P8" s="230">
        <f t="shared" ref="P8:P54" si="0">O8</f>
        <v>0</v>
      </c>
      <c r="Q8" s="230">
        <f t="shared" ref="Q8:Q54" si="1">SUM(H8:P8)</f>
        <v>23094.600000000002</v>
      </c>
      <c r="R8" s="43"/>
    </row>
    <row r="9" spans="1:21" ht="24.95" customHeight="1" x14ac:dyDescent="0.25">
      <c r="A9" s="231"/>
      <c r="B9" s="232"/>
      <c r="C9" s="231"/>
      <c r="D9" s="228" t="s">
        <v>18</v>
      </c>
      <c r="E9" s="228" t="s">
        <v>262</v>
      </c>
      <c r="F9" s="228" t="s">
        <v>263</v>
      </c>
      <c r="G9" s="228" t="s">
        <v>267</v>
      </c>
      <c r="H9" s="229">
        <v>11537</v>
      </c>
      <c r="I9" s="229">
        <v>12269.9</v>
      </c>
      <c r="J9" s="229">
        <v>8827.4</v>
      </c>
      <c r="K9" s="230">
        <v>7585.8</v>
      </c>
      <c r="L9" s="230">
        <v>7298.7</v>
      </c>
      <c r="M9" s="230">
        <v>7643.8</v>
      </c>
      <c r="N9" s="230">
        <v>7565.1</v>
      </c>
      <c r="O9" s="230">
        <v>7565.1</v>
      </c>
      <c r="P9" s="230">
        <f t="shared" si="0"/>
        <v>7565.1</v>
      </c>
      <c r="Q9" s="230">
        <f t="shared" si="1"/>
        <v>77857.900000000009</v>
      </c>
      <c r="R9" s="43"/>
    </row>
    <row r="10" spans="1:21" ht="24.95" customHeight="1" x14ac:dyDescent="0.25">
      <c r="A10" s="231"/>
      <c r="B10" s="232"/>
      <c r="C10" s="231"/>
      <c r="D10" s="228" t="s">
        <v>18</v>
      </c>
      <c r="E10" s="228" t="s">
        <v>262</v>
      </c>
      <c r="F10" s="228" t="s">
        <v>263</v>
      </c>
      <c r="G10" s="228" t="s">
        <v>268</v>
      </c>
      <c r="H10" s="229">
        <v>180</v>
      </c>
      <c r="I10" s="229">
        <v>1248.0999999999999</v>
      </c>
      <c r="J10" s="229">
        <v>101.9</v>
      </c>
      <c r="K10" s="230">
        <v>10</v>
      </c>
      <c r="L10" s="230"/>
      <c r="M10" s="230"/>
      <c r="N10" s="230"/>
      <c r="O10" s="230"/>
      <c r="P10" s="230">
        <f t="shared" si="0"/>
        <v>0</v>
      </c>
      <c r="Q10" s="230">
        <f t="shared" si="1"/>
        <v>1540</v>
      </c>
      <c r="R10" s="43"/>
    </row>
    <row r="11" spans="1:21" ht="24.95" customHeight="1" x14ac:dyDescent="0.25">
      <c r="A11" s="231"/>
      <c r="B11" s="232"/>
      <c r="C11" s="231"/>
      <c r="D11" s="228" t="s">
        <v>18</v>
      </c>
      <c r="E11" s="228" t="s">
        <v>262</v>
      </c>
      <c r="F11" s="228" t="s">
        <v>269</v>
      </c>
      <c r="G11" s="228" t="s">
        <v>264</v>
      </c>
      <c r="H11" s="229">
        <v>5961.4</v>
      </c>
      <c r="I11" s="229">
        <v>10099.9</v>
      </c>
      <c r="J11" s="229">
        <v>13561.6</v>
      </c>
      <c r="K11" s="230">
        <v>14858.8</v>
      </c>
      <c r="L11" s="230">
        <v>19814.900000000001</v>
      </c>
      <c r="M11" s="230">
        <v>33192.5</v>
      </c>
      <c r="N11" s="230">
        <v>13583.6</v>
      </c>
      <c r="O11" s="230">
        <v>13583.6</v>
      </c>
      <c r="P11" s="230">
        <f t="shared" si="0"/>
        <v>13583.6</v>
      </c>
      <c r="Q11" s="230">
        <f t="shared" si="1"/>
        <v>138239.90000000002</v>
      </c>
      <c r="R11" s="43"/>
    </row>
    <row r="12" spans="1:21" ht="24.95" customHeight="1" x14ac:dyDescent="0.25">
      <c r="A12" s="231"/>
      <c r="B12" s="232"/>
      <c r="C12" s="231"/>
      <c r="D12" s="228" t="s">
        <v>18</v>
      </c>
      <c r="E12" s="228" t="s">
        <v>262</v>
      </c>
      <c r="F12" s="228" t="s">
        <v>269</v>
      </c>
      <c r="G12" s="228" t="s">
        <v>267</v>
      </c>
      <c r="H12" s="229">
        <v>1142</v>
      </c>
      <c r="I12" s="229">
        <v>1752.1</v>
      </c>
      <c r="J12" s="229">
        <v>2506</v>
      </c>
      <c r="K12" s="230">
        <v>2673.8</v>
      </c>
      <c r="L12" s="230">
        <v>3359.1</v>
      </c>
      <c r="M12" s="230">
        <v>5005.5</v>
      </c>
      <c r="N12" s="230">
        <v>2046.3</v>
      </c>
      <c r="O12" s="230">
        <v>2046.3</v>
      </c>
      <c r="P12" s="230">
        <f t="shared" si="0"/>
        <v>2046.3</v>
      </c>
      <c r="Q12" s="230">
        <f t="shared" si="1"/>
        <v>22577.399999999998</v>
      </c>
      <c r="R12" s="43"/>
    </row>
    <row r="13" spans="1:21" ht="24.95" customHeight="1" x14ac:dyDescent="0.25">
      <c r="A13" s="231"/>
      <c r="B13" s="232"/>
      <c r="C13" s="231"/>
      <c r="D13" s="233" t="s">
        <v>18</v>
      </c>
      <c r="E13" s="233" t="s">
        <v>262</v>
      </c>
      <c r="F13" s="228" t="s">
        <v>270</v>
      </c>
      <c r="G13" s="228" t="s">
        <v>266</v>
      </c>
      <c r="H13" s="230"/>
      <c r="I13" s="230"/>
      <c r="J13" s="230"/>
      <c r="K13" s="230"/>
      <c r="L13" s="230">
        <v>0</v>
      </c>
      <c r="M13" s="230">
        <v>50</v>
      </c>
      <c r="N13" s="230">
        <v>50</v>
      </c>
      <c r="O13" s="230">
        <v>50</v>
      </c>
      <c r="P13" s="230">
        <f t="shared" si="0"/>
        <v>50</v>
      </c>
      <c r="Q13" s="230">
        <f t="shared" si="1"/>
        <v>200</v>
      </c>
      <c r="R13" s="43"/>
    </row>
    <row r="14" spans="1:21" ht="24.95" customHeight="1" x14ac:dyDescent="0.25">
      <c r="A14" s="231"/>
      <c r="B14" s="232"/>
      <c r="C14" s="231"/>
      <c r="D14" s="233" t="s">
        <v>18</v>
      </c>
      <c r="E14" s="233" t="s">
        <v>262</v>
      </c>
      <c r="F14" s="228" t="s">
        <v>270</v>
      </c>
      <c r="G14" s="228" t="s">
        <v>266</v>
      </c>
      <c r="H14" s="230">
        <v>0</v>
      </c>
      <c r="I14" s="230">
        <v>0</v>
      </c>
      <c r="J14" s="230">
        <v>2</v>
      </c>
      <c r="K14" s="230">
        <v>0</v>
      </c>
      <c r="L14" s="230">
        <v>0</v>
      </c>
      <c r="M14" s="230">
        <v>1000</v>
      </c>
      <c r="N14" s="230">
        <v>0</v>
      </c>
      <c r="O14" s="230">
        <v>0</v>
      </c>
      <c r="P14" s="230">
        <f t="shared" si="0"/>
        <v>0</v>
      </c>
      <c r="Q14" s="230">
        <f t="shared" si="1"/>
        <v>1002</v>
      </c>
      <c r="R14" s="43"/>
    </row>
    <row r="15" spans="1:21" ht="24.95" customHeight="1" x14ac:dyDescent="0.25">
      <c r="A15" s="231"/>
      <c r="B15" s="234"/>
      <c r="C15" s="235"/>
      <c r="D15" s="228" t="s">
        <v>18</v>
      </c>
      <c r="E15" s="228" t="s">
        <v>262</v>
      </c>
      <c r="F15" s="228" t="s">
        <v>271</v>
      </c>
      <c r="G15" s="228" t="s">
        <v>268</v>
      </c>
      <c r="H15" s="230">
        <v>0</v>
      </c>
      <c r="I15" s="230">
        <v>0</v>
      </c>
      <c r="J15" s="230">
        <v>0</v>
      </c>
      <c r="K15" s="230">
        <v>1</v>
      </c>
      <c r="L15" s="230">
        <v>0</v>
      </c>
      <c r="M15" s="230">
        <v>0</v>
      </c>
      <c r="N15" s="230">
        <v>0</v>
      </c>
      <c r="O15" s="230">
        <v>0</v>
      </c>
      <c r="P15" s="230">
        <f t="shared" si="0"/>
        <v>0</v>
      </c>
      <c r="Q15" s="230">
        <f t="shared" si="1"/>
        <v>1</v>
      </c>
      <c r="R15" s="43"/>
    </row>
    <row r="16" spans="1:21" ht="24.95" customHeight="1" x14ac:dyDescent="0.25">
      <c r="A16" s="231"/>
      <c r="B16" s="236" t="s">
        <v>272</v>
      </c>
      <c r="C16" s="61" t="s">
        <v>261</v>
      </c>
      <c r="D16" s="228" t="s">
        <v>273</v>
      </c>
      <c r="E16" s="228" t="s">
        <v>262</v>
      </c>
      <c r="F16" s="228" t="s">
        <v>274</v>
      </c>
      <c r="G16" s="228" t="s">
        <v>266</v>
      </c>
      <c r="H16" s="230">
        <v>0</v>
      </c>
      <c r="I16" s="230">
        <v>0</v>
      </c>
      <c r="J16" s="230">
        <v>141</v>
      </c>
      <c r="K16" s="230">
        <v>0</v>
      </c>
      <c r="L16" s="230">
        <v>0</v>
      </c>
      <c r="M16" s="230">
        <v>0</v>
      </c>
      <c r="N16" s="230">
        <v>0</v>
      </c>
      <c r="O16" s="230">
        <v>0</v>
      </c>
      <c r="P16" s="230">
        <f t="shared" si="0"/>
        <v>0</v>
      </c>
      <c r="Q16" s="230">
        <f t="shared" si="1"/>
        <v>141</v>
      </c>
      <c r="R16" s="43"/>
    </row>
    <row r="17" spans="1:18" ht="24.95" customHeight="1" x14ac:dyDescent="0.25">
      <c r="A17" s="231"/>
      <c r="B17" s="237"/>
      <c r="C17" s="63"/>
      <c r="D17" s="228" t="s">
        <v>273</v>
      </c>
      <c r="E17" s="228" t="s">
        <v>262</v>
      </c>
      <c r="F17" s="228" t="s">
        <v>274</v>
      </c>
      <c r="G17" s="228" t="s">
        <v>268</v>
      </c>
      <c r="H17" s="230">
        <v>0</v>
      </c>
      <c r="I17" s="230">
        <v>0</v>
      </c>
      <c r="J17" s="230">
        <v>0</v>
      </c>
      <c r="K17" s="230">
        <v>70.5</v>
      </c>
      <c r="L17" s="230">
        <v>0</v>
      </c>
      <c r="M17" s="230">
        <v>0</v>
      </c>
      <c r="N17" s="230">
        <v>0</v>
      </c>
      <c r="O17" s="230">
        <v>0</v>
      </c>
      <c r="P17" s="230">
        <f t="shared" si="0"/>
        <v>0</v>
      </c>
      <c r="Q17" s="230">
        <f t="shared" si="1"/>
        <v>70.5</v>
      </c>
      <c r="R17" s="43"/>
    </row>
    <row r="18" spans="1:18" ht="24.95" customHeight="1" x14ac:dyDescent="0.25">
      <c r="A18" s="231"/>
      <c r="B18" s="237"/>
      <c r="C18" s="63"/>
      <c r="D18" s="238" t="s">
        <v>18</v>
      </c>
      <c r="E18" s="238" t="s">
        <v>262</v>
      </c>
      <c r="F18" s="238" t="s">
        <v>275</v>
      </c>
      <c r="G18" s="238" t="s">
        <v>264</v>
      </c>
      <c r="H18" s="239">
        <v>55471</v>
      </c>
      <c r="I18" s="239">
        <v>64558.6</v>
      </c>
      <c r="J18" s="239">
        <v>62740.3</v>
      </c>
      <c r="K18" s="240">
        <v>67910</v>
      </c>
      <c r="L18" s="240">
        <v>69926.5</v>
      </c>
      <c r="M18" s="240">
        <v>78833.7</v>
      </c>
      <c r="N18" s="240">
        <v>70399.899999999994</v>
      </c>
      <c r="O18" s="240">
        <v>70399.899999999994</v>
      </c>
      <c r="P18" s="230">
        <f t="shared" si="0"/>
        <v>70399.899999999994</v>
      </c>
      <c r="Q18" s="230">
        <f t="shared" si="1"/>
        <v>610639.80000000005</v>
      </c>
      <c r="R18" s="43"/>
    </row>
    <row r="19" spans="1:18" ht="24.95" customHeight="1" x14ac:dyDescent="0.25">
      <c r="A19" s="231"/>
      <c r="B19" s="237"/>
      <c r="C19" s="63"/>
      <c r="D19" s="238" t="s">
        <v>18</v>
      </c>
      <c r="E19" s="238" t="s">
        <v>262</v>
      </c>
      <c r="F19" s="238" t="s">
        <v>275</v>
      </c>
      <c r="G19" s="238" t="s">
        <v>266</v>
      </c>
      <c r="H19" s="239">
        <v>216.4</v>
      </c>
      <c r="I19" s="239">
        <v>268.39999999999998</v>
      </c>
      <c r="J19" s="239">
        <v>343.4</v>
      </c>
      <c r="K19" s="240">
        <v>380.2</v>
      </c>
      <c r="L19" s="240">
        <v>337</v>
      </c>
      <c r="M19" s="240">
        <v>341</v>
      </c>
      <c r="N19" s="240">
        <v>341</v>
      </c>
      <c r="O19" s="240">
        <v>341</v>
      </c>
      <c r="P19" s="230">
        <f t="shared" si="0"/>
        <v>341</v>
      </c>
      <c r="Q19" s="230">
        <f t="shared" si="1"/>
        <v>2909.3999999999996</v>
      </c>
      <c r="R19" s="43"/>
    </row>
    <row r="20" spans="1:18" ht="24.95" customHeight="1" x14ac:dyDescent="0.25">
      <c r="A20" s="231"/>
      <c r="B20" s="237"/>
      <c r="C20" s="63"/>
      <c r="D20" s="238" t="s">
        <v>18</v>
      </c>
      <c r="E20" s="238" t="s">
        <v>262</v>
      </c>
      <c r="F20" s="238" t="s">
        <v>275</v>
      </c>
      <c r="G20" s="238" t="s">
        <v>267</v>
      </c>
      <c r="H20" s="239">
        <v>8073.9</v>
      </c>
      <c r="I20" s="239">
        <v>9286.4</v>
      </c>
      <c r="J20" s="239">
        <v>9020.2999999999993</v>
      </c>
      <c r="K20" s="240">
        <v>9425.2000000000007</v>
      </c>
      <c r="L20" s="240">
        <v>10547.1</v>
      </c>
      <c r="M20" s="240">
        <v>11997.2</v>
      </c>
      <c r="N20" s="240">
        <v>10204.799999999999</v>
      </c>
      <c r="O20" s="240">
        <v>10204.799999999999</v>
      </c>
      <c r="P20" s="230">
        <f t="shared" si="0"/>
        <v>10204.799999999999</v>
      </c>
      <c r="Q20" s="230">
        <f t="shared" si="1"/>
        <v>88964.500000000015</v>
      </c>
      <c r="R20" s="43"/>
    </row>
    <row r="21" spans="1:18" ht="24.95" customHeight="1" x14ac:dyDescent="0.25">
      <c r="A21" s="231"/>
      <c r="B21" s="237"/>
      <c r="C21" s="63"/>
      <c r="D21" s="238" t="s">
        <v>18</v>
      </c>
      <c r="E21" s="238" t="s">
        <v>262</v>
      </c>
      <c r="F21" s="238" t="s">
        <v>275</v>
      </c>
      <c r="G21" s="238" t="s">
        <v>276</v>
      </c>
      <c r="H21" s="239"/>
      <c r="I21" s="239"/>
      <c r="J21" s="239"/>
      <c r="K21" s="240">
        <v>0</v>
      </c>
      <c r="L21" s="240"/>
      <c r="M21" s="240"/>
      <c r="N21" s="240"/>
      <c r="O21" s="240"/>
      <c r="P21" s="230">
        <f t="shared" si="0"/>
        <v>0</v>
      </c>
      <c r="Q21" s="230">
        <f t="shared" si="1"/>
        <v>0</v>
      </c>
      <c r="R21" s="43"/>
    </row>
    <row r="22" spans="1:18" ht="24.95" customHeight="1" x14ac:dyDescent="0.25">
      <c r="A22" s="231"/>
      <c r="B22" s="237"/>
      <c r="C22" s="63"/>
      <c r="D22" s="238" t="s">
        <v>18</v>
      </c>
      <c r="E22" s="238" t="s">
        <v>262</v>
      </c>
      <c r="F22" s="238" t="s">
        <v>275</v>
      </c>
      <c r="G22" s="238" t="s">
        <v>266</v>
      </c>
      <c r="H22" s="239">
        <v>3478.6</v>
      </c>
      <c r="I22" s="239">
        <v>3595.8</v>
      </c>
      <c r="J22" s="239"/>
      <c r="K22" s="240">
        <v>0</v>
      </c>
      <c r="L22" s="240"/>
      <c r="M22" s="240"/>
      <c r="N22" s="240"/>
      <c r="O22" s="240"/>
      <c r="P22" s="230">
        <f t="shared" si="0"/>
        <v>0</v>
      </c>
      <c r="Q22" s="230">
        <f t="shared" si="1"/>
        <v>7074.4</v>
      </c>
      <c r="R22" s="43"/>
    </row>
    <row r="23" spans="1:18" ht="24.95" customHeight="1" x14ac:dyDescent="0.25">
      <c r="A23" s="231"/>
      <c r="B23" s="237"/>
      <c r="C23" s="63"/>
      <c r="D23" s="238" t="s">
        <v>18</v>
      </c>
      <c r="E23" s="238" t="s">
        <v>262</v>
      </c>
      <c r="F23" s="238" t="s">
        <v>275</v>
      </c>
      <c r="G23" s="238" t="s">
        <v>268</v>
      </c>
      <c r="H23" s="239">
        <v>486.3</v>
      </c>
      <c r="I23" s="239">
        <v>496.9</v>
      </c>
      <c r="J23" s="239"/>
      <c r="K23" s="240">
        <v>0</v>
      </c>
      <c r="L23" s="240"/>
      <c r="M23" s="240">
        <v>0</v>
      </c>
      <c r="N23" s="240">
        <v>275.5</v>
      </c>
      <c r="O23" s="240">
        <v>275.5</v>
      </c>
      <c r="P23" s="230">
        <f t="shared" si="0"/>
        <v>275.5</v>
      </c>
      <c r="Q23" s="230">
        <f t="shared" si="1"/>
        <v>1809.7</v>
      </c>
      <c r="R23" s="43"/>
    </row>
    <row r="24" spans="1:18" ht="24.95" customHeight="1" x14ac:dyDescent="0.25">
      <c r="A24" s="231"/>
      <c r="B24" s="237"/>
      <c r="C24" s="63"/>
      <c r="D24" s="238" t="s">
        <v>18</v>
      </c>
      <c r="E24" s="238" t="s">
        <v>262</v>
      </c>
      <c r="F24" s="238" t="s">
        <v>277</v>
      </c>
      <c r="G24" s="238" t="s">
        <v>264</v>
      </c>
      <c r="H24" s="239"/>
      <c r="I24" s="239"/>
      <c r="J24" s="239">
        <v>32757.9</v>
      </c>
      <c r="K24" s="240">
        <v>35111</v>
      </c>
      <c r="L24" s="240">
        <v>38950.400000000001</v>
      </c>
      <c r="M24" s="240">
        <v>39811.1</v>
      </c>
      <c r="N24" s="240">
        <v>35265.300000000003</v>
      </c>
      <c r="O24" s="240">
        <v>35265.300000000003</v>
      </c>
      <c r="P24" s="230">
        <f t="shared" si="0"/>
        <v>35265.300000000003</v>
      </c>
      <c r="Q24" s="230">
        <f t="shared" si="1"/>
        <v>252426.3</v>
      </c>
      <c r="R24" s="43"/>
    </row>
    <row r="25" spans="1:18" ht="24.95" customHeight="1" x14ac:dyDescent="0.25">
      <c r="A25" s="231"/>
      <c r="B25" s="237"/>
      <c r="C25" s="63"/>
      <c r="D25" s="238" t="s">
        <v>18</v>
      </c>
      <c r="E25" s="238" t="s">
        <v>262</v>
      </c>
      <c r="F25" s="238" t="s">
        <v>277</v>
      </c>
      <c r="G25" s="238" t="s">
        <v>266</v>
      </c>
      <c r="H25" s="239"/>
      <c r="I25" s="239"/>
      <c r="J25" s="239">
        <v>762.6</v>
      </c>
      <c r="K25" s="240">
        <v>412</v>
      </c>
      <c r="L25" s="240">
        <v>357</v>
      </c>
      <c r="M25" s="240">
        <v>290</v>
      </c>
      <c r="N25" s="240">
        <v>290</v>
      </c>
      <c r="O25" s="240">
        <v>290</v>
      </c>
      <c r="P25" s="230">
        <f t="shared" si="0"/>
        <v>290</v>
      </c>
      <c r="Q25" s="230">
        <f t="shared" si="1"/>
        <v>2691.6</v>
      </c>
      <c r="R25" s="43"/>
    </row>
    <row r="26" spans="1:18" ht="24.95" customHeight="1" x14ac:dyDescent="0.25">
      <c r="A26" s="231"/>
      <c r="B26" s="237"/>
      <c r="C26" s="63"/>
      <c r="D26" s="238" t="s">
        <v>18</v>
      </c>
      <c r="E26" s="238" t="s">
        <v>262</v>
      </c>
      <c r="F26" s="238" t="s">
        <v>277</v>
      </c>
      <c r="G26" s="238" t="s">
        <v>267</v>
      </c>
      <c r="H26" s="239"/>
      <c r="I26" s="239"/>
      <c r="J26" s="239">
        <v>4635</v>
      </c>
      <c r="K26" s="240">
        <v>4958.6000000000004</v>
      </c>
      <c r="L26" s="240">
        <v>5314.3</v>
      </c>
      <c r="M26" s="240">
        <v>6482</v>
      </c>
      <c r="N26" s="240">
        <v>4907.8999999999996</v>
      </c>
      <c r="O26" s="240">
        <v>4907.8999999999996</v>
      </c>
      <c r="P26" s="230">
        <f t="shared" si="0"/>
        <v>4907.8999999999996</v>
      </c>
      <c r="Q26" s="230">
        <f t="shared" si="1"/>
        <v>36113.600000000006</v>
      </c>
      <c r="R26" s="43"/>
    </row>
    <row r="27" spans="1:18" ht="24.95" customHeight="1" x14ac:dyDescent="0.25">
      <c r="A27" s="231"/>
      <c r="B27" s="237"/>
      <c r="C27" s="63"/>
      <c r="D27" s="238" t="s">
        <v>18</v>
      </c>
      <c r="E27" s="238" t="s">
        <v>262</v>
      </c>
      <c r="F27" s="238" t="s">
        <v>277</v>
      </c>
      <c r="G27" s="238" t="s">
        <v>268</v>
      </c>
      <c r="H27" s="239"/>
      <c r="I27" s="239"/>
      <c r="J27" s="239">
        <v>89.5</v>
      </c>
      <c r="K27" s="240">
        <v>0</v>
      </c>
      <c r="L27" s="240"/>
      <c r="M27" s="240"/>
      <c r="N27" s="240"/>
      <c r="O27" s="240"/>
      <c r="P27" s="230">
        <f t="shared" si="0"/>
        <v>0</v>
      </c>
      <c r="Q27" s="230">
        <f t="shared" si="1"/>
        <v>89.5</v>
      </c>
      <c r="R27" s="43"/>
    </row>
    <row r="28" spans="1:18" ht="37.15" customHeight="1" x14ac:dyDescent="0.25">
      <c r="A28" s="231"/>
      <c r="B28" s="237"/>
      <c r="C28" s="63"/>
      <c r="D28" s="238" t="s">
        <v>18</v>
      </c>
      <c r="E28" s="238" t="s">
        <v>262</v>
      </c>
      <c r="F28" s="228" t="s">
        <v>278</v>
      </c>
      <c r="G28" s="238" t="s">
        <v>267</v>
      </c>
      <c r="H28" s="239"/>
      <c r="I28" s="239"/>
      <c r="J28" s="239"/>
      <c r="K28" s="240"/>
      <c r="L28" s="240">
        <v>102.6</v>
      </c>
      <c r="M28" s="241">
        <v>46.4</v>
      </c>
      <c r="N28" s="240"/>
      <c r="O28" s="240"/>
      <c r="P28" s="230">
        <f t="shared" si="0"/>
        <v>0</v>
      </c>
      <c r="Q28" s="230">
        <f t="shared" si="1"/>
        <v>149</v>
      </c>
      <c r="R28" s="43"/>
    </row>
    <row r="29" spans="1:18" ht="43.15" customHeight="1" x14ac:dyDescent="0.25">
      <c r="A29" s="231"/>
      <c r="B29" s="237"/>
      <c r="C29" s="63"/>
      <c r="D29" s="238" t="s">
        <v>18</v>
      </c>
      <c r="E29" s="238" t="s">
        <v>262</v>
      </c>
      <c r="F29" s="228" t="s">
        <v>279</v>
      </c>
      <c r="G29" s="238" t="s">
        <v>264</v>
      </c>
      <c r="H29" s="239"/>
      <c r="I29" s="239"/>
      <c r="J29" s="239"/>
      <c r="K29" s="240"/>
      <c r="L29" s="240">
        <v>613.20000000000005</v>
      </c>
      <c r="M29" s="241">
        <v>283</v>
      </c>
      <c r="N29" s="240"/>
      <c r="O29" s="240"/>
      <c r="P29" s="230">
        <f t="shared" si="0"/>
        <v>0</v>
      </c>
      <c r="Q29" s="230">
        <f t="shared" si="1"/>
        <v>896.2</v>
      </c>
      <c r="R29" s="43"/>
    </row>
    <row r="30" spans="1:18" ht="24.95" customHeight="1" x14ac:dyDescent="0.25">
      <c r="A30" s="231"/>
      <c r="B30" s="237"/>
      <c r="C30" s="63"/>
      <c r="D30" s="238" t="s">
        <v>18</v>
      </c>
      <c r="E30" s="238" t="s">
        <v>262</v>
      </c>
      <c r="F30" s="228" t="s">
        <v>280</v>
      </c>
      <c r="G30" s="238" t="s">
        <v>266</v>
      </c>
      <c r="H30" s="239"/>
      <c r="I30" s="239"/>
      <c r="J30" s="239"/>
      <c r="K30" s="240">
        <v>99</v>
      </c>
      <c r="L30" s="240"/>
      <c r="M30" s="240"/>
      <c r="N30" s="240"/>
      <c r="O30" s="240"/>
      <c r="P30" s="230">
        <f t="shared" si="0"/>
        <v>0</v>
      </c>
      <c r="Q30" s="230">
        <f t="shared" si="1"/>
        <v>99</v>
      </c>
      <c r="R30" s="43"/>
    </row>
    <row r="31" spans="1:18" ht="24.95" customHeight="1" x14ac:dyDescent="0.25">
      <c r="A31" s="231"/>
      <c r="B31" s="237"/>
      <c r="C31" s="63"/>
      <c r="D31" s="238" t="s">
        <v>18</v>
      </c>
      <c r="E31" s="238" t="s">
        <v>262</v>
      </c>
      <c r="F31" s="238" t="s">
        <v>281</v>
      </c>
      <c r="G31" s="238" t="s">
        <v>264</v>
      </c>
      <c r="H31" s="239">
        <v>181.4</v>
      </c>
      <c r="I31" s="239"/>
      <c r="J31" s="239"/>
      <c r="K31" s="240"/>
      <c r="L31" s="240"/>
      <c r="M31" s="240"/>
      <c r="N31" s="240"/>
      <c r="O31" s="240"/>
      <c r="P31" s="230">
        <f t="shared" si="0"/>
        <v>0</v>
      </c>
      <c r="Q31" s="230">
        <f t="shared" si="1"/>
        <v>181.4</v>
      </c>
      <c r="R31" s="43"/>
    </row>
    <row r="32" spans="1:18" ht="24.95" customHeight="1" x14ac:dyDescent="0.25">
      <c r="A32" s="231"/>
      <c r="B32" s="242"/>
      <c r="C32" s="196"/>
      <c r="D32" s="238" t="s">
        <v>18</v>
      </c>
      <c r="E32" s="238" t="s">
        <v>262</v>
      </c>
      <c r="F32" s="238" t="s">
        <v>281</v>
      </c>
      <c r="G32" s="238" t="s">
        <v>267</v>
      </c>
      <c r="H32" s="239">
        <v>35.299999999999997</v>
      </c>
      <c r="I32" s="239"/>
      <c r="J32" s="240"/>
      <c r="K32" s="240"/>
      <c r="L32" s="240"/>
      <c r="M32" s="240"/>
      <c r="N32" s="240"/>
      <c r="O32" s="240"/>
      <c r="P32" s="230">
        <f t="shared" si="0"/>
        <v>0</v>
      </c>
      <c r="Q32" s="230">
        <f t="shared" si="1"/>
        <v>35.299999999999997</v>
      </c>
      <c r="R32" s="43"/>
    </row>
    <row r="33" spans="1:18" ht="54.75" customHeight="1" x14ac:dyDescent="0.25">
      <c r="A33" s="235"/>
      <c r="B33" s="243" t="s">
        <v>282</v>
      </c>
      <c r="C33" s="127" t="s">
        <v>261</v>
      </c>
      <c r="D33" s="238" t="s">
        <v>18</v>
      </c>
      <c r="E33" s="238" t="s">
        <v>262</v>
      </c>
      <c r="F33" s="238" t="s">
        <v>15</v>
      </c>
      <c r="G33" s="238" t="s">
        <v>15</v>
      </c>
      <c r="H33" s="239">
        <v>13162.3</v>
      </c>
      <c r="I33" s="239">
        <v>12443.8</v>
      </c>
      <c r="J33" s="240">
        <v>16587.599999999999</v>
      </c>
      <c r="K33" s="240">
        <v>19415.5</v>
      </c>
      <c r="L33" s="240">
        <v>21251.4</v>
      </c>
      <c r="M33" s="240">
        <v>21768.400000000001</v>
      </c>
      <c r="N33" s="240">
        <v>21768.400000000001</v>
      </c>
      <c r="O33" s="240">
        <v>21768.400000000001</v>
      </c>
      <c r="P33" s="230">
        <f t="shared" si="0"/>
        <v>21768.400000000001</v>
      </c>
      <c r="Q33" s="230">
        <f t="shared" si="1"/>
        <v>169934.19999999998</v>
      </c>
      <c r="R33" s="76"/>
    </row>
    <row r="34" spans="1:18" ht="32.25" customHeight="1" x14ac:dyDescent="0.25">
      <c r="A34" s="244" t="s">
        <v>112</v>
      </c>
      <c r="B34" s="236" t="s">
        <v>283</v>
      </c>
      <c r="C34" s="61" t="s">
        <v>261</v>
      </c>
      <c r="D34" s="238" t="s">
        <v>18</v>
      </c>
      <c r="E34" s="238" t="s">
        <v>262</v>
      </c>
      <c r="F34" s="238" t="s">
        <v>284</v>
      </c>
      <c r="G34" s="238" t="s">
        <v>266</v>
      </c>
      <c r="H34" s="239">
        <v>2036.1</v>
      </c>
      <c r="I34" s="239"/>
      <c r="J34" s="239"/>
      <c r="K34" s="240"/>
      <c r="L34" s="240"/>
      <c r="M34" s="240"/>
      <c r="N34" s="240"/>
      <c r="O34" s="240"/>
      <c r="P34" s="230">
        <f t="shared" si="0"/>
        <v>0</v>
      </c>
      <c r="Q34" s="230">
        <f t="shared" si="1"/>
        <v>2036.1</v>
      </c>
      <c r="R34" s="245" t="s">
        <v>285</v>
      </c>
    </row>
    <row r="35" spans="1:18" ht="39" customHeight="1" x14ac:dyDescent="0.25">
      <c r="A35" s="246"/>
      <c r="B35" s="242"/>
      <c r="C35" s="196"/>
      <c r="D35" s="238" t="s">
        <v>18</v>
      </c>
      <c r="E35" s="238" t="s">
        <v>262</v>
      </c>
      <c r="F35" s="238" t="s">
        <v>286</v>
      </c>
      <c r="G35" s="238" t="s">
        <v>266</v>
      </c>
      <c r="H35" s="239">
        <v>511.1</v>
      </c>
      <c r="I35" s="239"/>
      <c r="J35" s="239"/>
      <c r="K35" s="240"/>
      <c r="L35" s="240"/>
      <c r="M35" s="240"/>
      <c r="N35" s="240"/>
      <c r="O35" s="240"/>
      <c r="P35" s="230">
        <f t="shared" si="0"/>
        <v>0</v>
      </c>
      <c r="Q35" s="230">
        <f t="shared" si="1"/>
        <v>511.1</v>
      </c>
      <c r="R35" s="247"/>
    </row>
    <row r="36" spans="1:18" ht="69" customHeight="1" x14ac:dyDescent="0.25">
      <c r="A36" s="248"/>
      <c r="B36" s="249" t="s">
        <v>287</v>
      </c>
      <c r="C36" s="127" t="s">
        <v>261</v>
      </c>
      <c r="D36" s="238" t="s">
        <v>18</v>
      </c>
      <c r="E36" s="238" t="s">
        <v>262</v>
      </c>
      <c r="F36" s="238" t="s">
        <v>288</v>
      </c>
      <c r="G36" s="238" t="s">
        <v>266</v>
      </c>
      <c r="H36" s="239">
        <v>20.5</v>
      </c>
      <c r="I36" s="239">
        <v>0</v>
      </c>
      <c r="J36" s="239">
        <v>0</v>
      </c>
      <c r="K36" s="240"/>
      <c r="L36" s="240"/>
      <c r="M36" s="240"/>
      <c r="N36" s="240"/>
      <c r="O36" s="240"/>
      <c r="P36" s="230">
        <f t="shared" si="0"/>
        <v>0</v>
      </c>
      <c r="Q36" s="230">
        <f t="shared" si="1"/>
        <v>20.5</v>
      </c>
      <c r="R36" s="250"/>
    </row>
    <row r="37" spans="1:18" s="82" customFormat="1" ht="35.25" customHeight="1" x14ac:dyDescent="0.25">
      <c r="A37" s="251" t="s">
        <v>114</v>
      </c>
      <c r="B37" s="252" t="s">
        <v>289</v>
      </c>
      <c r="C37" s="61" t="s">
        <v>261</v>
      </c>
      <c r="D37" s="238" t="s">
        <v>18</v>
      </c>
      <c r="E37" s="238" t="s">
        <v>262</v>
      </c>
      <c r="F37" s="238" t="s">
        <v>290</v>
      </c>
      <c r="G37" s="238" t="s">
        <v>266</v>
      </c>
      <c r="H37" s="239">
        <v>3.4</v>
      </c>
      <c r="I37" s="239">
        <v>3.4</v>
      </c>
      <c r="J37" s="239"/>
      <c r="K37" s="240"/>
      <c r="L37" s="240"/>
      <c r="M37" s="240"/>
      <c r="N37" s="240"/>
      <c r="O37" s="240"/>
      <c r="P37" s="230">
        <f t="shared" si="0"/>
        <v>0</v>
      </c>
      <c r="Q37" s="230">
        <f t="shared" si="1"/>
        <v>6.8</v>
      </c>
      <c r="R37" s="253"/>
    </row>
    <row r="38" spans="1:18" s="82" customFormat="1" ht="53.25" customHeight="1" x14ac:dyDescent="0.25">
      <c r="A38" s="254"/>
      <c r="B38" s="255"/>
      <c r="C38" s="196"/>
      <c r="D38" s="256" t="s">
        <v>18</v>
      </c>
      <c r="E38" s="256" t="s">
        <v>262</v>
      </c>
      <c r="F38" s="238" t="s">
        <v>290</v>
      </c>
      <c r="G38" s="238" t="s">
        <v>268</v>
      </c>
      <c r="H38" s="239">
        <v>0.6</v>
      </c>
      <c r="I38" s="239">
        <v>0.6</v>
      </c>
      <c r="J38" s="239"/>
      <c r="K38" s="240"/>
      <c r="L38" s="240"/>
      <c r="M38" s="240"/>
      <c r="N38" s="240"/>
      <c r="O38" s="240"/>
      <c r="P38" s="230">
        <f t="shared" si="0"/>
        <v>0</v>
      </c>
      <c r="Q38" s="230">
        <f t="shared" si="1"/>
        <v>1.2</v>
      </c>
      <c r="R38" s="257"/>
    </row>
    <row r="39" spans="1:18" ht="35.1" customHeight="1" x14ac:dyDescent="0.25">
      <c r="A39" s="258" t="s">
        <v>117</v>
      </c>
      <c r="B39" s="259" t="s">
        <v>291</v>
      </c>
      <c r="C39" s="61" t="s">
        <v>261</v>
      </c>
      <c r="D39" s="256" t="s">
        <v>18</v>
      </c>
      <c r="E39" s="256" t="s">
        <v>292</v>
      </c>
      <c r="F39" s="238" t="s">
        <v>293</v>
      </c>
      <c r="G39" s="238" t="s">
        <v>294</v>
      </c>
      <c r="H39" s="239">
        <v>2490.8000000000002</v>
      </c>
      <c r="I39" s="239">
        <v>2975.5</v>
      </c>
      <c r="J39" s="239">
        <v>5157.1000000000004</v>
      </c>
      <c r="K39" s="240">
        <v>3953.2</v>
      </c>
      <c r="L39" s="240">
        <f>3232.2-682.5</f>
        <v>2549.6999999999998</v>
      </c>
      <c r="M39" s="240">
        <v>3577.5</v>
      </c>
      <c r="N39" s="240">
        <v>3234.5</v>
      </c>
      <c r="O39" s="240">
        <v>3234.5</v>
      </c>
      <c r="P39" s="230">
        <f t="shared" si="0"/>
        <v>3234.5</v>
      </c>
      <c r="Q39" s="230">
        <f t="shared" si="1"/>
        <v>30407.300000000003</v>
      </c>
      <c r="R39" s="253" t="s">
        <v>295</v>
      </c>
    </row>
    <row r="40" spans="1:18" ht="45" customHeight="1" x14ac:dyDescent="0.25">
      <c r="A40" s="260"/>
      <c r="B40" s="261"/>
      <c r="C40" s="196"/>
      <c r="D40" s="256" t="s">
        <v>18</v>
      </c>
      <c r="E40" s="256" t="s">
        <v>292</v>
      </c>
      <c r="F40" s="238" t="s">
        <v>293</v>
      </c>
      <c r="G40" s="238" t="s">
        <v>296</v>
      </c>
      <c r="H40" s="239">
        <v>27</v>
      </c>
      <c r="I40" s="239"/>
      <c r="J40" s="239"/>
      <c r="K40" s="240"/>
      <c r="L40" s="240"/>
      <c r="M40" s="240"/>
      <c r="N40" s="240"/>
      <c r="O40" s="240"/>
      <c r="P40" s="230">
        <f t="shared" si="0"/>
        <v>0</v>
      </c>
      <c r="Q40" s="230">
        <f t="shared" si="1"/>
        <v>27</v>
      </c>
      <c r="R40" s="257"/>
    </row>
    <row r="41" spans="1:18" ht="35.1" customHeight="1" x14ac:dyDescent="0.25">
      <c r="A41" s="262" t="s">
        <v>297</v>
      </c>
      <c r="B41" s="263" t="s">
        <v>298</v>
      </c>
      <c r="C41" s="61" t="s">
        <v>261</v>
      </c>
      <c r="D41" s="238" t="s">
        <v>18</v>
      </c>
      <c r="E41" s="256" t="s">
        <v>262</v>
      </c>
      <c r="F41" s="256" t="s">
        <v>299</v>
      </c>
      <c r="G41" s="238" t="s">
        <v>266</v>
      </c>
      <c r="H41" s="239">
        <v>274.89999999999998</v>
      </c>
      <c r="I41" s="239">
        <v>279.10000000000002</v>
      </c>
      <c r="J41" s="239">
        <v>474.8</v>
      </c>
      <c r="K41" s="240">
        <v>380</v>
      </c>
      <c r="L41" s="240">
        <v>522.29999999999995</v>
      </c>
      <c r="M41" s="240">
        <v>576</v>
      </c>
      <c r="N41" s="240">
        <v>576</v>
      </c>
      <c r="O41" s="240">
        <v>576</v>
      </c>
      <c r="P41" s="230">
        <f t="shared" si="0"/>
        <v>576</v>
      </c>
      <c r="Q41" s="230">
        <f t="shared" si="1"/>
        <v>4235.1000000000004</v>
      </c>
      <c r="R41" s="253" t="s">
        <v>300</v>
      </c>
    </row>
    <row r="42" spans="1:18" ht="35.1" customHeight="1" x14ac:dyDescent="0.25">
      <c r="A42" s="264"/>
      <c r="B42" s="265"/>
      <c r="C42" s="196"/>
      <c r="D42" s="238" t="s">
        <v>18</v>
      </c>
      <c r="E42" s="256" t="s">
        <v>262</v>
      </c>
      <c r="F42" s="256" t="s">
        <v>299</v>
      </c>
      <c r="G42" s="238" t="s">
        <v>268</v>
      </c>
      <c r="H42" s="239">
        <v>19</v>
      </c>
      <c r="I42" s="239">
        <v>25.1</v>
      </c>
      <c r="J42" s="239">
        <v>36.799999999999997</v>
      </c>
      <c r="K42" s="240">
        <v>52.6</v>
      </c>
      <c r="L42" s="240">
        <v>76.7</v>
      </c>
      <c r="M42" s="240">
        <v>19.2</v>
      </c>
      <c r="N42" s="240">
        <v>19.2</v>
      </c>
      <c r="O42" s="240">
        <v>19.2</v>
      </c>
      <c r="P42" s="230">
        <f t="shared" si="0"/>
        <v>19.2</v>
      </c>
      <c r="Q42" s="230">
        <f t="shared" si="1"/>
        <v>286.99999999999994</v>
      </c>
      <c r="R42" s="257"/>
    </row>
    <row r="43" spans="1:18" ht="44.25" customHeight="1" x14ac:dyDescent="0.25">
      <c r="A43" s="262" t="s">
        <v>301</v>
      </c>
      <c r="B43" s="259" t="s">
        <v>302</v>
      </c>
      <c r="C43" s="61" t="s">
        <v>261</v>
      </c>
      <c r="D43" s="266" t="s">
        <v>18</v>
      </c>
      <c r="E43" s="238" t="s">
        <v>262</v>
      </c>
      <c r="F43" s="238" t="s">
        <v>303</v>
      </c>
      <c r="G43" s="238" t="s">
        <v>266</v>
      </c>
      <c r="H43" s="239">
        <v>4242.3</v>
      </c>
      <c r="I43" s="239">
        <v>0</v>
      </c>
      <c r="J43" s="239"/>
      <c r="K43" s="240"/>
      <c r="L43" s="240"/>
      <c r="M43" s="240"/>
      <c r="N43" s="239"/>
      <c r="O43" s="239"/>
      <c r="P43" s="230">
        <f t="shared" si="0"/>
        <v>0</v>
      </c>
      <c r="Q43" s="230">
        <f t="shared" si="1"/>
        <v>4242.3</v>
      </c>
      <c r="R43" s="253" t="s">
        <v>304</v>
      </c>
    </row>
    <row r="44" spans="1:18" ht="42" customHeight="1" x14ac:dyDescent="0.25">
      <c r="A44" s="264"/>
      <c r="B44" s="261"/>
      <c r="C44" s="63"/>
      <c r="D44" s="267"/>
      <c r="E44" s="238" t="s">
        <v>262</v>
      </c>
      <c r="F44" s="238" t="s">
        <v>305</v>
      </c>
      <c r="G44" s="238" t="s">
        <v>266</v>
      </c>
      <c r="H44" s="239">
        <v>15008.8</v>
      </c>
      <c r="I44" s="239"/>
      <c r="J44" s="239"/>
      <c r="K44" s="240"/>
      <c r="L44" s="240"/>
      <c r="M44" s="240"/>
      <c r="N44" s="239"/>
      <c r="O44" s="239"/>
      <c r="P44" s="230">
        <f t="shared" si="0"/>
        <v>0</v>
      </c>
      <c r="Q44" s="230">
        <f t="shared" si="1"/>
        <v>15008.8</v>
      </c>
      <c r="R44" s="257"/>
    </row>
    <row r="45" spans="1:18" ht="35.1" customHeight="1" x14ac:dyDescent="0.25">
      <c r="A45" s="268" t="s">
        <v>306</v>
      </c>
      <c r="B45" s="269" t="s">
        <v>307</v>
      </c>
      <c r="C45" s="196"/>
      <c r="D45" s="238" t="s">
        <v>18</v>
      </c>
      <c r="E45" s="238" t="s">
        <v>262</v>
      </c>
      <c r="F45" s="238" t="s">
        <v>308</v>
      </c>
      <c r="G45" s="238" t="s">
        <v>266</v>
      </c>
      <c r="H45" s="239">
        <v>1500.9</v>
      </c>
      <c r="I45" s="239"/>
      <c r="J45" s="239"/>
      <c r="K45" s="240"/>
      <c r="L45" s="240"/>
      <c r="M45" s="240"/>
      <c r="N45" s="239"/>
      <c r="O45" s="239"/>
      <c r="P45" s="230">
        <f t="shared" si="0"/>
        <v>0</v>
      </c>
      <c r="Q45" s="230">
        <f t="shared" si="1"/>
        <v>1500.9</v>
      </c>
      <c r="R45" s="270"/>
    </row>
    <row r="46" spans="1:18" ht="49.5" customHeight="1" x14ac:dyDescent="0.25">
      <c r="A46" s="262" t="s">
        <v>309</v>
      </c>
      <c r="B46" s="259" t="s">
        <v>310</v>
      </c>
      <c r="C46" s="61" t="s">
        <v>261</v>
      </c>
      <c r="D46" s="238" t="s">
        <v>18</v>
      </c>
      <c r="E46" s="238" t="s">
        <v>262</v>
      </c>
      <c r="F46" s="238" t="s">
        <v>311</v>
      </c>
      <c r="G46" s="238" t="s">
        <v>268</v>
      </c>
      <c r="H46" s="239">
        <v>2</v>
      </c>
      <c r="I46" s="239"/>
      <c r="J46" s="239"/>
      <c r="K46" s="240"/>
      <c r="L46" s="240"/>
      <c r="M46" s="240"/>
      <c r="N46" s="239"/>
      <c r="O46" s="239"/>
      <c r="P46" s="230">
        <f t="shared" si="0"/>
        <v>0</v>
      </c>
      <c r="Q46" s="230">
        <f t="shared" si="1"/>
        <v>2</v>
      </c>
      <c r="R46" s="253" t="s">
        <v>312</v>
      </c>
    </row>
    <row r="47" spans="1:18" ht="62.25" customHeight="1" x14ac:dyDescent="0.25">
      <c r="A47" s="264"/>
      <c r="B47" s="261"/>
      <c r="C47" s="196"/>
      <c r="D47" s="238" t="s">
        <v>18</v>
      </c>
      <c r="E47" s="238" t="s">
        <v>262</v>
      </c>
      <c r="F47" s="238" t="s">
        <v>311</v>
      </c>
      <c r="G47" s="238" t="s">
        <v>266</v>
      </c>
      <c r="H47" s="239">
        <v>3</v>
      </c>
      <c r="I47" s="239"/>
      <c r="J47" s="239"/>
      <c r="K47" s="240"/>
      <c r="L47" s="240"/>
      <c r="M47" s="240"/>
      <c r="N47" s="239"/>
      <c r="O47" s="239"/>
      <c r="P47" s="230">
        <f t="shared" si="0"/>
        <v>0</v>
      </c>
      <c r="Q47" s="230">
        <f t="shared" si="1"/>
        <v>3</v>
      </c>
      <c r="R47" s="257"/>
    </row>
    <row r="48" spans="1:18" ht="35.1" customHeight="1" x14ac:dyDescent="0.25">
      <c r="A48" s="271" t="s">
        <v>313</v>
      </c>
      <c r="B48" s="253" t="s">
        <v>314</v>
      </c>
      <c r="C48" s="61" t="s">
        <v>261</v>
      </c>
      <c r="D48" s="228" t="s">
        <v>18</v>
      </c>
      <c r="E48" s="228" t="s">
        <v>315</v>
      </c>
      <c r="F48" s="228" t="s">
        <v>316</v>
      </c>
      <c r="G48" s="12">
        <v>622</v>
      </c>
      <c r="H48" s="239">
        <v>13</v>
      </c>
      <c r="I48" s="239">
        <v>13</v>
      </c>
      <c r="J48" s="272"/>
      <c r="K48" s="273"/>
      <c r="L48" s="273"/>
      <c r="M48" s="273"/>
      <c r="N48" s="272"/>
      <c r="O48" s="272"/>
      <c r="P48" s="230">
        <f t="shared" si="0"/>
        <v>0</v>
      </c>
      <c r="Q48" s="230">
        <f t="shared" si="1"/>
        <v>26</v>
      </c>
      <c r="R48" s="42" t="s">
        <v>317</v>
      </c>
    </row>
    <row r="49" spans="1:18" ht="36" customHeight="1" x14ac:dyDescent="0.25">
      <c r="A49" s="271"/>
      <c r="B49" s="257"/>
      <c r="C49" s="196"/>
      <c r="D49" s="228" t="s">
        <v>18</v>
      </c>
      <c r="E49" s="228" t="s">
        <v>315</v>
      </c>
      <c r="F49" s="228" t="s">
        <v>316</v>
      </c>
      <c r="G49" s="12">
        <v>244</v>
      </c>
      <c r="H49" s="239"/>
      <c r="I49" s="239"/>
      <c r="J49" s="239"/>
      <c r="K49" s="240"/>
      <c r="L49" s="240"/>
      <c r="M49" s="240"/>
      <c r="N49" s="239"/>
      <c r="O49" s="239"/>
      <c r="P49" s="230">
        <f t="shared" si="0"/>
        <v>0</v>
      </c>
      <c r="Q49" s="230">
        <f t="shared" si="1"/>
        <v>0</v>
      </c>
      <c r="R49" s="274"/>
    </row>
    <row r="50" spans="1:18" ht="22.5" customHeight="1" x14ac:dyDescent="0.25">
      <c r="A50" s="275" t="s">
        <v>318</v>
      </c>
      <c r="B50" s="276"/>
      <c r="C50" s="277"/>
      <c r="D50" s="277"/>
      <c r="E50" s="278"/>
      <c r="F50" s="277"/>
      <c r="G50" s="277"/>
      <c r="H50" s="240">
        <f t="shared" ref="H50:O50" si="2">SUM(H7:H49)</f>
        <v>198091.59999999992</v>
      </c>
      <c r="I50" s="240">
        <f t="shared" si="2"/>
        <v>204824.59999999998</v>
      </c>
      <c r="J50" s="240">
        <f t="shared" si="2"/>
        <v>219030.49999999997</v>
      </c>
      <c r="K50" s="240">
        <f t="shared" si="2"/>
        <v>218633.10000000003</v>
      </c>
      <c r="L50" s="240">
        <f t="shared" si="2"/>
        <v>229336.90000000002</v>
      </c>
      <c r="M50" s="240">
        <f t="shared" si="2"/>
        <v>265133.39999999997</v>
      </c>
      <c r="N50" s="240">
        <f t="shared" si="2"/>
        <v>218059.09999999998</v>
      </c>
      <c r="O50" s="240">
        <f t="shared" si="2"/>
        <v>218059.09999999998</v>
      </c>
      <c r="P50" s="230">
        <f t="shared" si="0"/>
        <v>218059.09999999998</v>
      </c>
      <c r="Q50" s="230">
        <f t="shared" si="1"/>
        <v>1989227.4</v>
      </c>
      <c r="R50" s="38"/>
    </row>
    <row r="51" spans="1:18" ht="20.25" customHeight="1" x14ac:dyDescent="0.25">
      <c r="A51" s="275" t="s">
        <v>319</v>
      </c>
      <c r="B51" s="276"/>
      <c r="C51" s="279"/>
      <c r="D51" s="279"/>
      <c r="E51" s="279"/>
      <c r="F51" s="279"/>
      <c r="G51" s="279"/>
      <c r="H51" s="240">
        <f t="shared" ref="H51:M51" si="3">H50</f>
        <v>198091.59999999992</v>
      </c>
      <c r="I51" s="240">
        <f t="shared" si="3"/>
        <v>204824.59999999998</v>
      </c>
      <c r="J51" s="240">
        <f t="shared" si="3"/>
        <v>219030.49999999997</v>
      </c>
      <c r="K51" s="240">
        <f t="shared" si="3"/>
        <v>218633.10000000003</v>
      </c>
      <c r="L51" s="240">
        <f t="shared" si="3"/>
        <v>229336.90000000002</v>
      </c>
      <c r="M51" s="240">
        <f t="shared" si="3"/>
        <v>265133.39999999997</v>
      </c>
      <c r="N51" s="240">
        <f>N50</f>
        <v>218059.09999999998</v>
      </c>
      <c r="O51" s="240">
        <f>O50</f>
        <v>218059.09999999998</v>
      </c>
      <c r="P51" s="230">
        <f t="shared" si="0"/>
        <v>218059.09999999998</v>
      </c>
      <c r="Q51" s="230">
        <f t="shared" si="1"/>
        <v>1989227.4</v>
      </c>
      <c r="R51" s="38"/>
    </row>
    <row r="52" spans="1:18" ht="20.25" customHeight="1" x14ac:dyDescent="0.25">
      <c r="A52" s="275" t="s">
        <v>320</v>
      </c>
      <c r="B52" s="276"/>
      <c r="C52" s="279"/>
      <c r="D52" s="279"/>
      <c r="E52" s="279"/>
      <c r="F52" s="279"/>
      <c r="G52" s="279"/>
      <c r="H52" s="240">
        <f>H16+H17+H18+H19+H20+H21+H22+H23+H24+H25+H26+H27+H31+H32+H34+H35+H39+H40+H41+H42+H43+H44</f>
        <v>92552.900000000023</v>
      </c>
      <c r="I52" s="240">
        <f>I16+I17+I18+I19+I20+I21+I22+I23+I24+I25+I26+I27+I31+I32+I34+I35+I39+I40+I41+I42+I43+I44</f>
        <v>81485.8</v>
      </c>
      <c r="J52" s="240">
        <f>J16+J17+J18+J19+J20+J21+J22+J23+J24+J25+J26+J27+J31+J32+J34+J35+J39+J40+J41+J42+J43+J44</f>
        <v>116158.70000000001</v>
      </c>
      <c r="K52" s="240">
        <f>K16+K17+K18+K19+K20+K21+K22+K23+K24+K25+K26+K27+K31+K32+K34+K35+K39+K40+K41+K42+K43+K44+K30</f>
        <v>122752.3</v>
      </c>
      <c r="L52" s="240">
        <f>L16+L17+L18+L19+L20+L21+L22+L23+L24+L25+L26+L27+L31+L32+L34+L35+L39+L40+L41+L42+L43+L44+L28+L29</f>
        <v>129296.8</v>
      </c>
      <c r="M52" s="240">
        <f>M16+M17+M18+M19+M20+M21+M22+M23+M24+M25+M26+M27+M31+M32+M34+M35+M39+M40+M41+M42+M43+M44+M28+M29+M14</f>
        <v>143257.1</v>
      </c>
      <c r="N52" s="240">
        <f>N16+N17+N18+N19+N20+N21+N22+N23+N24+N25+N26+N27+N31+N32+N34+N35+N39+N40+N41+N42+N43+N44</f>
        <v>125514.09999999999</v>
      </c>
      <c r="O52" s="240">
        <f>O16+O17+O18+O19+O20+O21+O22+O23+O24+O25+O26+O27+O31+O32+O34+O35+O39+O40+O41+O42+O43+O44</f>
        <v>125514.09999999999</v>
      </c>
      <c r="P52" s="230">
        <f t="shared" si="0"/>
        <v>125514.09999999999</v>
      </c>
      <c r="Q52" s="230">
        <f t="shared" si="1"/>
        <v>1062045.8999999999</v>
      </c>
      <c r="R52" s="38"/>
    </row>
    <row r="53" spans="1:18" ht="20.25" customHeight="1" x14ac:dyDescent="0.25">
      <c r="A53" s="275" t="s">
        <v>321</v>
      </c>
      <c r="B53" s="276"/>
      <c r="C53" s="279"/>
      <c r="D53" s="279"/>
      <c r="E53" s="279"/>
      <c r="F53" s="279"/>
      <c r="G53" s="279"/>
      <c r="H53" s="240">
        <f>H7+H8+H9+H10+H11+H12+H14+H15+H36+H37+H38+H45+H46+H47+H48+H49</f>
        <v>92376.4</v>
      </c>
      <c r="I53" s="240">
        <f>I7+I8+I9+I10+I11+I12+I14+I15+I36+I37+I38+I45+I46+I47+I48+I49</f>
        <v>110895</v>
      </c>
      <c r="J53" s="240">
        <f>J7+J8+J9+J10+J11+J12+J14+J15+J36+J37+J38+J45+J46+J47+J48+J49</f>
        <v>86284.2</v>
      </c>
      <c r="K53" s="240">
        <f>K7+K8+K9+K10+K11+K12+K14+K15+K36+K37+K38+K45+K46+K47+K48+K49</f>
        <v>76465.3</v>
      </c>
      <c r="L53" s="240">
        <f>L7+L8+L9+L10+L11+L12+L14+L15+L36+L37+L38+L45+L46+L47+L48+L49</f>
        <v>78788.700000000012</v>
      </c>
      <c r="M53" s="240">
        <f>M7+M8+M9+M10+M11+M12+M15+M36+M37+M38+M45+M46+M47+M48+M49+M13</f>
        <v>100107.9</v>
      </c>
      <c r="N53" s="240">
        <f>N7+N8+N9+N10+N11+N12+N14+N15+N36+N37+N38+N45+N46+N47+N48+N49+N13</f>
        <v>70776.600000000006</v>
      </c>
      <c r="O53" s="240">
        <f>O7+O8+O9+O10+O11+O12+O14+O15+O36+O37+O38+O45+O46+O47+O48+O49+O13</f>
        <v>70776.600000000006</v>
      </c>
      <c r="P53" s="230">
        <f t="shared" si="0"/>
        <v>70776.600000000006</v>
      </c>
      <c r="Q53" s="230">
        <f t="shared" si="1"/>
        <v>757247.29999999993</v>
      </c>
      <c r="R53" s="38"/>
    </row>
    <row r="54" spans="1:18" ht="20.25" customHeight="1" x14ac:dyDescent="0.25">
      <c r="A54" s="275" t="s">
        <v>322</v>
      </c>
      <c r="B54" s="276"/>
      <c r="C54" s="279"/>
      <c r="D54" s="279"/>
      <c r="E54" s="279"/>
      <c r="F54" s="279"/>
      <c r="G54" s="279"/>
      <c r="H54" s="240">
        <f t="shared" ref="H54:O54" si="4">H33</f>
        <v>13162.3</v>
      </c>
      <c r="I54" s="240">
        <f t="shared" si="4"/>
        <v>12443.8</v>
      </c>
      <c r="J54" s="239">
        <f t="shared" si="4"/>
        <v>16587.599999999999</v>
      </c>
      <c r="K54" s="240">
        <f t="shared" si="4"/>
        <v>19415.5</v>
      </c>
      <c r="L54" s="240">
        <f t="shared" si="4"/>
        <v>21251.4</v>
      </c>
      <c r="M54" s="240">
        <f t="shared" si="4"/>
        <v>21768.400000000001</v>
      </c>
      <c r="N54" s="240">
        <f t="shared" si="4"/>
        <v>21768.400000000001</v>
      </c>
      <c r="O54" s="240">
        <f t="shared" si="4"/>
        <v>21768.400000000001</v>
      </c>
      <c r="P54" s="230">
        <f t="shared" si="0"/>
        <v>21768.400000000001</v>
      </c>
      <c r="Q54" s="230">
        <f t="shared" si="1"/>
        <v>169934.19999999998</v>
      </c>
      <c r="R54" s="38"/>
    </row>
    <row r="55" spans="1:18" s="283" customFormat="1" x14ac:dyDescent="0.25">
      <c r="A55" s="280"/>
      <c r="B55" s="280"/>
      <c r="C55" s="281"/>
      <c r="D55" s="281"/>
      <c r="E55" s="281"/>
      <c r="F55" s="281"/>
      <c r="G55" s="281"/>
      <c r="H55" s="281"/>
      <c r="I55" s="282"/>
      <c r="J55" s="282"/>
      <c r="K55" s="179"/>
      <c r="L55" s="179"/>
      <c r="M55" s="179"/>
      <c r="N55" s="179"/>
      <c r="O55" s="179"/>
      <c r="P55" s="179"/>
      <c r="Q55" s="179"/>
      <c r="R55" s="179"/>
    </row>
    <row r="56" spans="1:18" s="179" customFormat="1" x14ac:dyDescent="0.25">
      <c r="A56" s="284"/>
      <c r="B56" s="284"/>
      <c r="C56" s="285"/>
      <c r="D56" s="285"/>
      <c r="E56" s="285"/>
      <c r="F56" s="285"/>
      <c r="G56" s="285"/>
      <c r="H56" s="285"/>
      <c r="I56" s="285"/>
      <c r="J56" s="285"/>
      <c r="K56" s="285"/>
      <c r="Q56" s="286"/>
    </row>
    <row r="57" spans="1:18" x14ac:dyDescent="0.25">
      <c r="A57" s="287" t="s">
        <v>33</v>
      </c>
      <c r="B57" s="287"/>
      <c r="C57" s="287"/>
      <c r="D57" s="288"/>
      <c r="E57" s="288"/>
      <c r="F57" s="288"/>
      <c r="G57" s="288"/>
      <c r="H57" s="288"/>
      <c r="I57" s="289"/>
      <c r="R57" s="289" t="s">
        <v>34</v>
      </c>
    </row>
    <row r="58" spans="1:18" x14ac:dyDescent="0.25">
      <c r="A58" s="290"/>
      <c r="B58" s="291"/>
      <c r="C58" s="292"/>
      <c r="D58" s="292"/>
      <c r="E58" s="292"/>
      <c r="F58" s="292"/>
      <c r="G58" s="292"/>
      <c r="H58" s="292"/>
    </row>
    <row r="59" spans="1:18" x14ac:dyDescent="0.25">
      <c r="A59" s="290"/>
      <c r="B59" s="291"/>
      <c r="C59" s="292"/>
      <c r="D59" s="292"/>
      <c r="E59" s="292"/>
      <c r="F59" s="292"/>
      <c r="G59" s="292"/>
      <c r="H59" s="292"/>
    </row>
    <row r="60" spans="1:18" x14ac:dyDescent="0.25">
      <c r="A60" s="290"/>
      <c r="B60" s="291"/>
      <c r="C60" s="292"/>
      <c r="D60" s="292"/>
      <c r="E60" s="292"/>
      <c r="F60" s="292"/>
      <c r="G60" s="292"/>
      <c r="H60" s="292"/>
    </row>
    <row r="61" spans="1:18" x14ac:dyDescent="0.25">
      <c r="A61" s="290"/>
      <c r="B61" s="291"/>
      <c r="C61" s="292"/>
      <c r="D61" s="292"/>
      <c r="E61" s="292"/>
      <c r="F61" s="292"/>
      <c r="G61" s="292"/>
      <c r="H61" s="292"/>
    </row>
    <row r="62" spans="1:18" x14ac:dyDescent="0.25">
      <c r="A62" s="290"/>
      <c r="B62" s="291"/>
      <c r="C62" s="292"/>
      <c r="D62" s="292"/>
      <c r="E62" s="292"/>
      <c r="F62" s="292"/>
      <c r="G62" s="292"/>
      <c r="H62" s="292"/>
    </row>
    <row r="63" spans="1:18" x14ac:dyDescent="0.25">
      <c r="A63" s="290"/>
      <c r="B63" s="291"/>
      <c r="C63" s="292"/>
      <c r="D63" s="292"/>
      <c r="E63" s="292"/>
      <c r="F63" s="292"/>
      <c r="G63" s="292"/>
      <c r="H63" s="292"/>
    </row>
    <row r="64" spans="1:18" x14ac:dyDescent="0.25">
      <c r="A64" s="290"/>
      <c r="B64" s="291"/>
      <c r="C64" s="292"/>
      <c r="D64" s="292"/>
      <c r="E64" s="292"/>
      <c r="F64" s="292"/>
      <c r="G64" s="292"/>
      <c r="H64" s="292"/>
    </row>
    <row r="65" spans="1:8" x14ac:dyDescent="0.25">
      <c r="A65" s="290"/>
      <c r="B65" s="291"/>
      <c r="C65" s="292"/>
      <c r="D65" s="292"/>
      <c r="E65" s="292"/>
      <c r="F65" s="292"/>
      <c r="G65" s="292"/>
      <c r="H65" s="292"/>
    </row>
    <row r="66" spans="1:8" x14ac:dyDescent="0.25">
      <c r="A66" s="290"/>
      <c r="B66" s="291"/>
      <c r="C66" s="292"/>
      <c r="D66" s="292"/>
      <c r="E66" s="292"/>
      <c r="F66" s="292"/>
      <c r="G66" s="292"/>
      <c r="H66" s="292"/>
    </row>
    <row r="67" spans="1:8" x14ac:dyDescent="0.25">
      <c r="A67" s="290"/>
      <c r="B67" s="291"/>
      <c r="C67" s="292"/>
      <c r="D67" s="292"/>
      <c r="E67" s="292"/>
      <c r="F67" s="292"/>
      <c r="G67" s="292"/>
      <c r="H67" s="292"/>
    </row>
    <row r="68" spans="1:8" x14ac:dyDescent="0.25">
      <c r="A68" s="290"/>
      <c r="B68" s="291"/>
      <c r="C68" s="292"/>
      <c r="D68" s="292"/>
      <c r="E68" s="292"/>
      <c r="F68" s="292"/>
      <c r="G68" s="292"/>
      <c r="H68" s="292"/>
    </row>
    <row r="69" spans="1:8" x14ac:dyDescent="0.25">
      <c r="A69" s="290"/>
      <c r="B69" s="291"/>
      <c r="C69" s="292"/>
      <c r="D69" s="292"/>
      <c r="E69" s="292"/>
      <c r="F69" s="292"/>
      <c r="G69" s="292"/>
      <c r="H69" s="292"/>
    </row>
    <row r="70" spans="1:8" x14ac:dyDescent="0.25">
      <c r="A70" s="290"/>
      <c r="B70" s="291"/>
      <c r="C70" s="292"/>
      <c r="D70" s="292"/>
      <c r="E70" s="292"/>
      <c r="F70" s="292"/>
      <c r="G70" s="292"/>
      <c r="H70" s="292"/>
    </row>
    <row r="71" spans="1:8" x14ac:dyDescent="0.25">
      <c r="A71" s="290"/>
      <c r="B71" s="291"/>
      <c r="C71" s="292"/>
      <c r="D71" s="292"/>
      <c r="E71" s="292"/>
      <c r="F71" s="292"/>
      <c r="G71" s="292"/>
      <c r="H71" s="292"/>
    </row>
    <row r="72" spans="1:8" x14ac:dyDescent="0.25">
      <c r="A72" s="290"/>
      <c r="B72" s="291"/>
      <c r="C72" s="292"/>
      <c r="D72" s="292"/>
      <c r="E72" s="292"/>
      <c r="F72" s="292"/>
      <c r="G72" s="292"/>
      <c r="H72" s="292"/>
    </row>
    <row r="73" spans="1:8" x14ac:dyDescent="0.25">
      <c r="A73" s="290"/>
      <c r="B73" s="291"/>
      <c r="C73" s="292"/>
      <c r="D73" s="292"/>
      <c r="E73" s="292"/>
      <c r="F73" s="292"/>
      <c r="G73" s="292"/>
      <c r="H73" s="292"/>
    </row>
    <row r="74" spans="1:8" x14ac:dyDescent="0.25">
      <c r="A74" s="290"/>
      <c r="B74" s="291"/>
      <c r="C74" s="292"/>
      <c r="D74" s="292"/>
      <c r="E74" s="292"/>
      <c r="F74" s="292"/>
      <c r="G74" s="292"/>
      <c r="H74" s="292"/>
    </row>
    <row r="75" spans="1:8" x14ac:dyDescent="0.25">
      <c r="A75" s="290"/>
      <c r="B75" s="291"/>
      <c r="C75" s="292"/>
      <c r="D75" s="292"/>
      <c r="E75" s="292"/>
      <c r="F75" s="292"/>
      <c r="G75" s="292"/>
      <c r="H75" s="292"/>
    </row>
    <row r="76" spans="1:8" x14ac:dyDescent="0.25">
      <c r="A76" s="290"/>
      <c r="B76" s="291"/>
      <c r="C76" s="292"/>
      <c r="D76" s="292"/>
      <c r="E76" s="292"/>
      <c r="F76" s="292"/>
      <c r="G76" s="292"/>
      <c r="H76" s="292"/>
    </row>
    <row r="77" spans="1:8" x14ac:dyDescent="0.25">
      <c r="A77" s="290"/>
      <c r="B77" s="291"/>
      <c r="C77" s="292"/>
      <c r="D77" s="292"/>
      <c r="E77" s="292"/>
      <c r="F77" s="292"/>
      <c r="G77" s="292"/>
      <c r="H77" s="292"/>
    </row>
    <row r="78" spans="1:8" x14ac:dyDescent="0.25">
      <c r="A78" s="290"/>
      <c r="B78" s="291"/>
      <c r="C78" s="292"/>
      <c r="D78" s="292"/>
      <c r="E78" s="292"/>
      <c r="F78" s="292"/>
      <c r="G78" s="292"/>
      <c r="H78" s="292"/>
    </row>
    <row r="79" spans="1:8" x14ac:dyDescent="0.25">
      <c r="A79" s="290"/>
      <c r="B79" s="291"/>
      <c r="C79" s="292"/>
      <c r="D79" s="292"/>
      <c r="E79" s="292"/>
      <c r="F79" s="292"/>
      <c r="G79" s="292"/>
      <c r="H79" s="292"/>
    </row>
    <row r="80" spans="1:8" x14ac:dyDescent="0.25">
      <c r="A80" s="290"/>
      <c r="B80" s="291"/>
      <c r="C80" s="292"/>
      <c r="D80" s="292"/>
      <c r="E80" s="292"/>
      <c r="F80" s="292"/>
      <c r="G80" s="292"/>
      <c r="H80" s="292"/>
    </row>
    <row r="81" spans="1:8" x14ac:dyDescent="0.25">
      <c r="A81" s="290"/>
      <c r="B81" s="291"/>
      <c r="C81" s="292"/>
      <c r="D81" s="292"/>
      <c r="E81" s="292"/>
      <c r="F81" s="292"/>
      <c r="G81" s="292"/>
      <c r="H81" s="292"/>
    </row>
    <row r="82" spans="1:8" x14ac:dyDescent="0.25">
      <c r="A82" s="290"/>
      <c r="B82" s="291"/>
      <c r="C82" s="292"/>
      <c r="D82" s="292"/>
      <c r="E82" s="292"/>
      <c r="F82" s="292"/>
      <c r="G82" s="292"/>
      <c r="H82" s="292"/>
    </row>
    <row r="83" spans="1:8" x14ac:dyDescent="0.25">
      <c r="A83" s="290"/>
      <c r="B83" s="291"/>
      <c r="C83" s="292"/>
      <c r="D83" s="292"/>
      <c r="E83" s="292"/>
      <c r="F83" s="292"/>
      <c r="G83" s="292"/>
      <c r="H83" s="292"/>
    </row>
    <row r="84" spans="1:8" x14ac:dyDescent="0.25">
      <c r="A84" s="290"/>
      <c r="B84" s="291"/>
      <c r="C84" s="292"/>
      <c r="D84" s="292"/>
      <c r="E84" s="292"/>
      <c r="F84" s="292"/>
      <c r="G84" s="292"/>
      <c r="H84" s="292"/>
    </row>
    <row r="85" spans="1:8" x14ac:dyDescent="0.25">
      <c r="A85" s="290"/>
      <c r="B85" s="291"/>
      <c r="C85" s="292"/>
      <c r="D85" s="292"/>
      <c r="E85" s="292"/>
      <c r="F85" s="292"/>
      <c r="G85" s="292"/>
      <c r="H85" s="292"/>
    </row>
    <row r="86" spans="1:8" x14ac:dyDescent="0.25">
      <c r="A86" s="290"/>
      <c r="B86" s="291"/>
      <c r="C86" s="292"/>
      <c r="D86" s="292"/>
      <c r="E86" s="292"/>
      <c r="F86" s="292"/>
      <c r="G86" s="292"/>
      <c r="H86" s="292"/>
    </row>
    <row r="87" spans="1:8" x14ac:dyDescent="0.25">
      <c r="A87" s="290"/>
      <c r="B87" s="291"/>
      <c r="C87" s="292"/>
      <c r="D87" s="292"/>
      <c r="E87" s="292"/>
      <c r="F87" s="292"/>
      <c r="G87" s="292"/>
      <c r="H87" s="292"/>
    </row>
    <row r="88" spans="1:8" x14ac:dyDescent="0.25">
      <c r="A88" s="290"/>
      <c r="B88" s="291"/>
      <c r="C88" s="292"/>
      <c r="D88" s="292"/>
      <c r="E88" s="292"/>
      <c r="F88" s="292"/>
      <c r="G88" s="292"/>
      <c r="H88" s="292"/>
    </row>
    <row r="89" spans="1:8" x14ac:dyDescent="0.25">
      <c r="A89" s="290"/>
      <c r="B89" s="291"/>
      <c r="C89" s="292"/>
      <c r="D89" s="292"/>
      <c r="E89" s="292"/>
      <c r="F89" s="292"/>
      <c r="G89" s="292"/>
      <c r="H89" s="292"/>
    </row>
    <row r="90" spans="1:8" x14ac:dyDescent="0.25">
      <c r="A90" s="290"/>
      <c r="B90" s="291"/>
      <c r="C90" s="292"/>
      <c r="D90" s="292"/>
      <c r="E90" s="292"/>
      <c r="F90" s="292"/>
      <c r="G90" s="292"/>
      <c r="H90" s="292"/>
    </row>
    <row r="91" spans="1:8" x14ac:dyDescent="0.25">
      <c r="A91" s="290"/>
      <c r="B91" s="291"/>
      <c r="C91" s="292"/>
      <c r="D91" s="292"/>
      <c r="E91" s="292"/>
      <c r="F91" s="292"/>
      <c r="G91" s="292"/>
      <c r="H91" s="292"/>
    </row>
    <row r="92" spans="1:8" x14ac:dyDescent="0.25">
      <c r="A92" s="290"/>
      <c r="B92" s="291"/>
      <c r="C92" s="292"/>
      <c r="D92" s="292"/>
      <c r="E92" s="292"/>
      <c r="F92" s="292"/>
      <c r="G92" s="292"/>
      <c r="H92" s="292"/>
    </row>
    <row r="93" spans="1:8" x14ac:dyDescent="0.25">
      <c r="A93" s="290"/>
      <c r="B93" s="291"/>
      <c r="C93" s="292"/>
      <c r="D93" s="292"/>
      <c r="E93" s="292"/>
      <c r="F93" s="292"/>
      <c r="G93" s="292"/>
      <c r="H93" s="292"/>
    </row>
    <row r="94" spans="1:8" x14ac:dyDescent="0.25">
      <c r="A94" s="290"/>
      <c r="B94" s="291"/>
      <c r="C94" s="292"/>
      <c r="D94" s="292"/>
      <c r="E94" s="292"/>
      <c r="F94" s="292"/>
      <c r="G94" s="292"/>
      <c r="H94" s="292"/>
    </row>
  </sheetData>
  <autoFilter ref="A4:U51"/>
  <mergeCells count="54">
    <mergeCell ref="A52:B52"/>
    <mergeCell ref="A53:B53"/>
    <mergeCell ref="A54:B54"/>
    <mergeCell ref="A55:B55"/>
    <mergeCell ref="A56:B56"/>
    <mergeCell ref="A57:C57"/>
    <mergeCell ref="A48:A49"/>
    <mergeCell ref="B48:B49"/>
    <mergeCell ref="C48:C49"/>
    <mergeCell ref="R48:R49"/>
    <mergeCell ref="A50:B50"/>
    <mergeCell ref="A51:B51"/>
    <mergeCell ref="A43:A44"/>
    <mergeCell ref="B43:B44"/>
    <mergeCell ref="C43:C45"/>
    <mergeCell ref="D43:D44"/>
    <mergeCell ref="R43:R44"/>
    <mergeCell ref="A46:A47"/>
    <mergeCell ref="B46:B47"/>
    <mergeCell ref="C46:C47"/>
    <mergeCell ref="R46:R47"/>
    <mergeCell ref="A39:A40"/>
    <mergeCell ref="B39:B40"/>
    <mergeCell ref="C39:C40"/>
    <mergeCell ref="R39:R40"/>
    <mergeCell ref="A41:A42"/>
    <mergeCell ref="B41:B42"/>
    <mergeCell ref="C41:C42"/>
    <mergeCell ref="R41:R42"/>
    <mergeCell ref="A34:A36"/>
    <mergeCell ref="B34:B35"/>
    <mergeCell ref="C34:C35"/>
    <mergeCell ref="R34:R36"/>
    <mergeCell ref="A37:A38"/>
    <mergeCell ref="B37:B38"/>
    <mergeCell ref="C37:C38"/>
    <mergeCell ref="R37:R38"/>
    <mergeCell ref="A5:R5"/>
    <mergeCell ref="A6:R6"/>
    <mergeCell ref="A7:A33"/>
    <mergeCell ref="B7:B15"/>
    <mergeCell ref="C7:C15"/>
    <mergeCell ref="R7:R33"/>
    <mergeCell ref="B16:B32"/>
    <mergeCell ref="C16:C32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38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1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G11" sqref="G11"/>
    </sheetView>
  </sheetViews>
  <sheetFormatPr defaultRowHeight="15.75" x14ac:dyDescent="0.25"/>
  <cols>
    <col min="1" max="1" width="6.28515625" style="161" customWidth="1"/>
    <col min="2" max="2" width="79.140625" style="54" customWidth="1"/>
    <col min="3" max="3" width="12" style="54" customWidth="1"/>
    <col min="4" max="4" width="11.42578125" style="54" hidden="1" customWidth="1"/>
    <col min="5" max="7" width="11.42578125" style="54" customWidth="1"/>
    <col min="8" max="10" width="11.42578125" style="82" customWidth="1"/>
    <col min="11" max="11" width="9.140625" style="82"/>
    <col min="12" max="12" width="8.140625" style="54" customWidth="1"/>
    <col min="13" max="16384" width="9.140625" style="54"/>
  </cols>
  <sheetData>
    <row r="1" spans="1:16" ht="36.75" customHeight="1" x14ac:dyDescent="0.25">
      <c r="A1" s="107"/>
      <c r="B1" s="108"/>
      <c r="C1" s="109"/>
      <c r="E1" s="110" t="s">
        <v>323</v>
      </c>
      <c r="F1" s="110"/>
      <c r="G1" s="110"/>
      <c r="H1" s="110"/>
      <c r="I1" s="110"/>
      <c r="J1" s="110"/>
      <c r="K1" s="110"/>
      <c r="L1" s="110"/>
    </row>
    <row r="2" spans="1:16" ht="37.5" customHeight="1" x14ac:dyDescent="0.25">
      <c r="A2" s="185" t="s">
        <v>245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6" ht="25.5" customHeight="1" x14ac:dyDescent="0.25">
      <c r="A3" s="113" t="s">
        <v>88</v>
      </c>
      <c r="B3" s="114" t="s">
        <v>246</v>
      </c>
      <c r="C3" s="114" t="s">
        <v>90</v>
      </c>
      <c r="D3" s="51" t="s">
        <v>93</v>
      </c>
      <c r="E3" s="51" t="s">
        <v>41</v>
      </c>
      <c r="F3" s="51" t="s">
        <v>42</v>
      </c>
      <c r="G3" s="51" t="s">
        <v>43</v>
      </c>
      <c r="H3" s="62" t="s">
        <v>44</v>
      </c>
      <c r="I3" s="62" t="s">
        <v>45</v>
      </c>
      <c r="J3" s="62" t="s">
        <v>46</v>
      </c>
      <c r="K3" s="62" t="s">
        <v>47</v>
      </c>
      <c r="L3" s="62" t="s">
        <v>48</v>
      </c>
      <c r="M3" s="62" t="s">
        <v>49</v>
      </c>
    </row>
    <row r="4" spans="1:16" ht="12.75" customHeight="1" x14ac:dyDescent="0.25">
      <c r="A4" s="113"/>
      <c r="B4" s="114"/>
      <c r="C4" s="114"/>
      <c r="D4" s="51"/>
      <c r="E4" s="51"/>
      <c r="F4" s="51"/>
      <c r="G4" s="51"/>
      <c r="H4" s="62"/>
      <c r="I4" s="62"/>
      <c r="J4" s="62"/>
      <c r="K4" s="62"/>
      <c r="L4" s="62"/>
      <c r="M4" s="62"/>
    </row>
    <row r="5" spans="1:16" ht="25.5" customHeight="1" x14ac:dyDescent="0.25">
      <c r="A5" s="113"/>
      <c r="B5" s="114"/>
      <c r="C5" s="114"/>
      <c r="D5" s="51"/>
      <c r="E5" s="51"/>
      <c r="F5" s="51"/>
      <c r="G5" s="51"/>
      <c r="H5" s="62"/>
      <c r="I5" s="62"/>
      <c r="J5" s="62"/>
      <c r="K5" s="62"/>
      <c r="L5" s="62"/>
      <c r="M5" s="62"/>
    </row>
    <row r="6" spans="1:16" ht="35.1" customHeight="1" x14ac:dyDescent="0.25">
      <c r="A6" s="295" t="s">
        <v>324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7"/>
    </row>
    <row r="7" spans="1:16" ht="35.1" customHeight="1" x14ac:dyDescent="0.25">
      <c r="A7" s="298" t="s">
        <v>325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</row>
    <row r="8" spans="1:16" ht="35.1" customHeight="1" x14ac:dyDescent="0.25">
      <c r="A8" s="36" t="s">
        <v>249</v>
      </c>
      <c r="B8" s="301" t="s">
        <v>326</v>
      </c>
      <c r="C8" s="35" t="s">
        <v>96</v>
      </c>
      <c r="D8" s="302">
        <v>546.29999999999995</v>
      </c>
      <c r="E8" s="129">
        <v>57.12</v>
      </c>
      <c r="F8" s="129">
        <v>71.400000000000006</v>
      </c>
      <c r="G8" s="129">
        <v>85.7</v>
      </c>
      <c r="H8" s="137">
        <v>85.7</v>
      </c>
      <c r="I8" s="123">
        <v>85.7</v>
      </c>
      <c r="J8" s="123">
        <v>85.7</v>
      </c>
      <c r="K8" s="123">
        <v>85.7</v>
      </c>
      <c r="L8" s="123">
        <v>85.7</v>
      </c>
      <c r="M8" s="123">
        <v>85.7</v>
      </c>
    </row>
    <row r="9" spans="1:16" s="82" customFormat="1" ht="35.1" customHeight="1" x14ac:dyDescent="0.25">
      <c r="A9" s="201" t="s">
        <v>250</v>
      </c>
      <c r="B9" s="303" t="s">
        <v>128</v>
      </c>
      <c r="C9" s="37" t="s">
        <v>96</v>
      </c>
      <c r="D9" s="126">
        <v>80</v>
      </c>
      <c r="E9" s="137">
        <v>75</v>
      </c>
      <c r="F9" s="137">
        <v>75</v>
      </c>
      <c r="G9" s="137">
        <v>75</v>
      </c>
      <c r="H9" s="137">
        <v>85</v>
      </c>
      <c r="I9" s="137">
        <v>85</v>
      </c>
      <c r="J9" s="137">
        <v>85</v>
      </c>
      <c r="K9" s="137">
        <v>85</v>
      </c>
      <c r="L9" s="137">
        <v>85</v>
      </c>
      <c r="M9" s="137">
        <v>85</v>
      </c>
      <c r="N9" s="304"/>
      <c r="O9" s="304"/>
      <c r="P9" s="304"/>
    </row>
    <row r="10" spans="1:16" ht="35.1" customHeight="1" x14ac:dyDescent="0.25">
      <c r="A10" s="36" t="s">
        <v>251</v>
      </c>
      <c r="B10" s="305" t="s">
        <v>130</v>
      </c>
      <c r="C10" s="35" t="s">
        <v>131</v>
      </c>
      <c r="D10" s="35" t="s">
        <v>126</v>
      </c>
      <c r="E10" s="129">
        <v>9</v>
      </c>
      <c r="F10" s="130">
        <v>8</v>
      </c>
      <c r="G10" s="130">
        <v>8</v>
      </c>
      <c r="H10" s="137">
        <v>8</v>
      </c>
      <c r="I10" s="123">
        <v>8</v>
      </c>
      <c r="J10" s="123">
        <v>8</v>
      </c>
      <c r="K10" s="123">
        <v>8</v>
      </c>
      <c r="L10" s="123">
        <v>8</v>
      </c>
      <c r="M10" s="123">
        <v>8</v>
      </c>
    </row>
    <row r="11" spans="1:16" ht="35.1" customHeight="1" x14ac:dyDescent="0.25">
      <c r="A11" s="36" t="s">
        <v>253</v>
      </c>
      <c r="B11" s="305" t="s">
        <v>133</v>
      </c>
      <c r="C11" s="35" t="s">
        <v>96</v>
      </c>
      <c r="D11" s="35"/>
      <c r="E11" s="129">
        <v>100</v>
      </c>
      <c r="F11" s="130">
        <v>100</v>
      </c>
      <c r="G11" s="130">
        <v>100</v>
      </c>
      <c r="H11" s="137">
        <v>100</v>
      </c>
      <c r="I11" s="123">
        <v>100</v>
      </c>
      <c r="J11" s="123">
        <v>100</v>
      </c>
      <c r="K11" s="123">
        <v>100</v>
      </c>
      <c r="L11" s="123">
        <v>100</v>
      </c>
      <c r="M11" s="123">
        <v>100</v>
      </c>
    </row>
    <row r="12" spans="1:16" ht="35.1" customHeight="1" x14ac:dyDescent="0.25">
      <c r="A12" s="36" t="s">
        <v>327</v>
      </c>
      <c r="B12" s="305" t="s">
        <v>135</v>
      </c>
      <c r="C12" s="35" t="s">
        <v>131</v>
      </c>
      <c r="D12" s="35" t="s">
        <v>126</v>
      </c>
      <c r="E12" s="129">
        <v>6</v>
      </c>
      <c r="F12" s="130">
        <v>7</v>
      </c>
      <c r="G12" s="130">
        <v>7</v>
      </c>
      <c r="H12" s="137">
        <v>7</v>
      </c>
      <c r="I12" s="137">
        <v>7</v>
      </c>
      <c r="J12" s="137">
        <v>7</v>
      </c>
      <c r="K12" s="137">
        <v>7</v>
      </c>
      <c r="L12" s="137">
        <v>7</v>
      </c>
      <c r="M12" s="137">
        <v>7</v>
      </c>
    </row>
    <row r="13" spans="1:16" ht="35.1" customHeight="1" x14ac:dyDescent="0.25">
      <c r="A13" s="298" t="s">
        <v>328</v>
      </c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300"/>
    </row>
    <row r="14" spans="1:16" ht="31.5" x14ac:dyDescent="0.25">
      <c r="A14" s="36" t="s">
        <v>329</v>
      </c>
      <c r="B14" s="305" t="s">
        <v>138</v>
      </c>
      <c r="C14" s="116" t="s">
        <v>96</v>
      </c>
      <c r="D14" s="116">
        <v>1.96</v>
      </c>
      <c r="E14" s="129">
        <v>87.5</v>
      </c>
      <c r="F14" s="130">
        <v>100</v>
      </c>
      <c r="G14" s="130">
        <v>100</v>
      </c>
      <c r="H14" s="137">
        <v>100</v>
      </c>
      <c r="I14" s="134">
        <v>100</v>
      </c>
      <c r="J14" s="134">
        <v>100</v>
      </c>
      <c r="K14" s="134">
        <v>100</v>
      </c>
      <c r="L14" s="134">
        <v>100</v>
      </c>
      <c r="M14" s="134">
        <v>100</v>
      </c>
    </row>
    <row r="15" spans="1:16" ht="31.5" x14ac:dyDescent="0.25">
      <c r="A15" s="36" t="s">
        <v>330</v>
      </c>
      <c r="B15" s="305" t="s">
        <v>140</v>
      </c>
      <c r="C15" s="35" t="s">
        <v>96</v>
      </c>
      <c r="D15" s="122">
        <v>2.34</v>
      </c>
      <c r="E15" s="129">
        <v>85</v>
      </c>
      <c r="F15" s="130">
        <v>89</v>
      </c>
      <c r="G15" s="130">
        <v>90</v>
      </c>
      <c r="H15" s="137">
        <v>90</v>
      </c>
      <c r="I15" s="134">
        <v>95</v>
      </c>
      <c r="J15" s="134">
        <v>95</v>
      </c>
      <c r="K15" s="134">
        <v>95</v>
      </c>
      <c r="L15" s="134">
        <v>95</v>
      </c>
      <c r="M15" s="134">
        <v>95</v>
      </c>
    </row>
    <row r="16" spans="1:16" ht="63" x14ac:dyDescent="0.25">
      <c r="A16" s="36" t="s">
        <v>331</v>
      </c>
      <c r="B16" s="305" t="s">
        <v>142</v>
      </c>
      <c r="C16" s="35" t="s">
        <v>96</v>
      </c>
      <c r="D16" s="122"/>
      <c r="E16" s="129">
        <v>10.199999999999999</v>
      </c>
      <c r="F16" s="130">
        <v>10.1</v>
      </c>
      <c r="G16" s="130">
        <v>10.1</v>
      </c>
      <c r="H16" s="137">
        <v>9.1</v>
      </c>
      <c r="I16" s="134">
        <v>9.5</v>
      </c>
      <c r="J16" s="134">
        <v>10.1</v>
      </c>
      <c r="K16" s="134">
        <v>10.1</v>
      </c>
      <c r="L16" s="134">
        <v>10.1</v>
      </c>
      <c r="M16" s="134">
        <v>10.1</v>
      </c>
    </row>
    <row r="17" spans="1:20" ht="63" x14ac:dyDescent="0.25">
      <c r="A17" s="36" t="s">
        <v>332</v>
      </c>
      <c r="B17" s="305" t="s">
        <v>144</v>
      </c>
      <c r="C17" s="35" t="s">
        <v>96</v>
      </c>
      <c r="D17" s="122"/>
      <c r="E17" s="129">
        <v>1.1299999999999999</v>
      </c>
      <c r="F17" s="130">
        <v>1.57</v>
      </c>
      <c r="G17" s="130">
        <v>1.72</v>
      </c>
      <c r="H17" s="137">
        <v>1.86</v>
      </c>
      <c r="I17" s="137">
        <v>1.87</v>
      </c>
      <c r="J17" s="137">
        <v>1.9</v>
      </c>
      <c r="K17" s="137">
        <v>1.9</v>
      </c>
      <c r="L17" s="137">
        <v>1.9</v>
      </c>
      <c r="M17" s="137">
        <v>1.9</v>
      </c>
    </row>
    <row r="18" spans="1:20" ht="47.25" x14ac:dyDescent="0.25">
      <c r="A18" s="36" t="s">
        <v>333</v>
      </c>
      <c r="B18" s="305" t="s">
        <v>146</v>
      </c>
      <c r="C18" s="35" t="s">
        <v>96</v>
      </c>
      <c r="D18" s="122"/>
      <c r="E18" s="129">
        <v>39</v>
      </c>
      <c r="F18" s="129">
        <v>41</v>
      </c>
      <c r="G18" s="129">
        <v>41</v>
      </c>
      <c r="H18" s="137">
        <v>42.5</v>
      </c>
      <c r="I18" s="134">
        <v>48.8</v>
      </c>
      <c r="J18" s="134">
        <v>50.2</v>
      </c>
      <c r="K18" s="134">
        <v>50.2</v>
      </c>
      <c r="L18" s="134">
        <v>50.2</v>
      </c>
      <c r="M18" s="134">
        <v>50.2</v>
      </c>
    </row>
    <row r="19" spans="1:20" ht="63" x14ac:dyDescent="0.25">
      <c r="A19" s="36" t="s">
        <v>334</v>
      </c>
      <c r="B19" s="301" t="s">
        <v>148</v>
      </c>
      <c r="C19" s="12" t="s">
        <v>96</v>
      </c>
      <c r="D19" s="122"/>
      <c r="E19" s="129">
        <v>1.96</v>
      </c>
      <c r="F19" s="129">
        <v>0</v>
      </c>
      <c r="G19" s="129">
        <v>0</v>
      </c>
      <c r="H19" s="137">
        <v>0</v>
      </c>
      <c r="I19" s="134">
        <v>0</v>
      </c>
      <c r="J19" s="134">
        <v>0</v>
      </c>
      <c r="K19" s="134">
        <v>0</v>
      </c>
      <c r="L19" s="134">
        <v>0</v>
      </c>
      <c r="M19" s="134">
        <v>0</v>
      </c>
    </row>
    <row r="20" spans="1:20" ht="47.25" x14ac:dyDescent="0.25">
      <c r="A20" s="36" t="s">
        <v>335</v>
      </c>
      <c r="B20" s="301" t="s">
        <v>150</v>
      </c>
      <c r="C20" s="12" t="s">
        <v>96</v>
      </c>
      <c r="D20" s="122"/>
      <c r="E20" s="129">
        <v>93.4</v>
      </c>
      <c r="F20" s="137">
        <v>93.5</v>
      </c>
      <c r="G20" s="137">
        <v>93.5</v>
      </c>
      <c r="H20" s="137">
        <v>93.5</v>
      </c>
      <c r="I20" s="134">
        <v>95</v>
      </c>
      <c r="J20" s="134">
        <v>95</v>
      </c>
      <c r="K20" s="134">
        <v>95</v>
      </c>
      <c r="L20" s="134">
        <v>95</v>
      </c>
      <c r="M20" s="134">
        <v>95</v>
      </c>
    </row>
    <row r="21" spans="1:20" ht="47.25" x14ac:dyDescent="0.25">
      <c r="A21" s="36" t="s">
        <v>336</v>
      </c>
      <c r="B21" s="301" t="s">
        <v>152</v>
      </c>
      <c r="C21" s="12" t="s">
        <v>96</v>
      </c>
      <c r="D21" s="122"/>
      <c r="E21" s="129">
        <v>92</v>
      </c>
      <c r="F21" s="137">
        <v>92</v>
      </c>
      <c r="G21" s="134">
        <v>92</v>
      </c>
      <c r="H21" s="134">
        <v>92</v>
      </c>
      <c r="I21" s="134">
        <v>92</v>
      </c>
      <c r="J21" s="134">
        <v>92</v>
      </c>
      <c r="K21" s="134">
        <v>92</v>
      </c>
      <c r="L21" s="134">
        <v>92</v>
      </c>
      <c r="M21" s="134">
        <v>92</v>
      </c>
    </row>
    <row r="22" spans="1:20" ht="31.5" x14ac:dyDescent="0.25">
      <c r="A22" s="36" t="s">
        <v>337</v>
      </c>
      <c r="B22" s="305" t="s">
        <v>154</v>
      </c>
      <c r="C22" s="11" t="s">
        <v>96</v>
      </c>
      <c r="D22" s="122"/>
      <c r="E22" s="129">
        <v>96</v>
      </c>
      <c r="F22" s="130">
        <v>96.5</v>
      </c>
      <c r="G22" s="131">
        <v>97</v>
      </c>
      <c r="H22" s="134">
        <v>97</v>
      </c>
      <c r="I22" s="134">
        <v>98</v>
      </c>
      <c r="J22" s="134">
        <v>98</v>
      </c>
      <c r="K22" s="134">
        <v>98</v>
      </c>
      <c r="L22" s="134">
        <v>98</v>
      </c>
      <c r="M22" s="134">
        <v>98</v>
      </c>
    </row>
    <row r="23" spans="1:20" ht="94.5" x14ac:dyDescent="0.25">
      <c r="A23" s="36" t="s">
        <v>338</v>
      </c>
      <c r="B23" s="301" t="s">
        <v>156</v>
      </c>
      <c r="C23" s="11" t="s">
        <v>96</v>
      </c>
      <c r="D23" s="122"/>
      <c r="E23" s="129">
        <v>2.5</v>
      </c>
      <c r="F23" s="130">
        <v>3</v>
      </c>
      <c r="G23" s="131">
        <v>3.4</v>
      </c>
      <c r="H23" s="134">
        <v>2.4</v>
      </c>
      <c r="I23" s="134">
        <v>2.8</v>
      </c>
      <c r="J23" s="134">
        <v>2.8</v>
      </c>
      <c r="K23" s="134">
        <v>2.8</v>
      </c>
      <c r="L23" s="134">
        <v>2.8</v>
      </c>
      <c r="M23" s="134">
        <v>2.8</v>
      </c>
    </row>
    <row r="24" spans="1:20" x14ac:dyDescent="0.25">
      <c r="A24" s="298" t="s">
        <v>339</v>
      </c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300"/>
    </row>
    <row r="25" spans="1:20" ht="31.5" x14ac:dyDescent="0.25">
      <c r="A25" s="138" t="s">
        <v>340</v>
      </c>
      <c r="B25" s="305" t="s">
        <v>159</v>
      </c>
      <c r="C25" s="35" t="s">
        <v>96</v>
      </c>
      <c r="D25" s="116"/>
      <c r="E25" s="129">
        <v>75</v>
      </c>
      <c r="F25" s="130">
        <v>75</v>
      </c>
      <c r="G25" s="139">
        <v>75</v>
      </c>
      <c r="H25" s="119">
        <v>93</v>
      </c>
      <c r="I25" s="119">
        <v>93.2</v>
      </c>
      <c r="J25" s="119">
        <v>93.4</v>
      </c>
      <c r="K25" s="119">
        <v>93.5</v>
      </c>
      <c r="L25" s="119">
        <v>93.5</v>
      </c>
      <c r="M25" s="119">
        <v>93.5</v>
      </c>
      <c r="N25" s="306"/>
      <c r="O25" s="306"/>
      <c r="P25" s="306"/>
      <c r="Q25" s="306"/>
      <c r="R25" s="306"/>
      <c r="S25" s="306"/>
      <c r="T25" s="306"/>
    </row>
    <row r="26" spans="1:20" ht="31.5" x14ac:dyDescent="0.25">
      <c r="A26" s="138" t="s">
        <v>341</v>
      </c>
      <c r="B26" s="303" t="s">
        <v>342</v>
      </c>
      <c r="C26" s="35" t="s">
        <v>96</v>
      </c>
      <c r="D26" s="116"/>
      <c r="E26" s="129">
        <v>67</v>
      </c>
      <c r="F26" s="130">
        <v>70</v>
      </c>
      <c r="G26" s="139">
        <v>72</v>
      </c>
      <c r="H26" s="119">
        <v>95</v>
      </c>
      <c r="I26" s="119">
        <v>95</v>
      </c>
      <c r="J26" s="119">
        <v>96</v>
      </c>
      <c r="K26" s="119">
        <v>97</v>
      </c>
      <c r="L26" s="119">
        <v>97</v>
      </c>
      <c r="M26" s="119">
        <v>97</v>
      </c>
      <c r="N26" s="306"/>
      <c r="O26" s="306"/>
      <c r="P26" s="306"/>
      <c r="Q26" s="306"/>
      <c r="R26" s="306"/>
      <c r="S26" s="306"/>
      <c r="T26" s="306"/>
    </row>
    <row r="27" spans="1:20" ht="47.25" x14ac:dyDescent="0.25">
      <c r="A27" s="138" t="s">
        <v>343</v>
      </c>
      <c r="B27" s="301" t="s">
        <v>344</v>
      </c>
      <c r="C27" s="35" t="s">
        <v>96</v>
      </c>
      <c r="D27" s="116">
        <v>78.400000000000006</v>
      </c>
      <c r="E27" s="139">
        <v>81</v>
      </c>
      <c r="F27" s="139">
        <v>83</v>
      </c>
      <c r="G27" s="139">
        <v>85</v>
      </c>
      <c r="H27" s="119">
        <v>85</v>
      </c>
      <c r="I27" s="119">
        <v>85</v>
      </c>
      <c r="J27" s="119">
        <v>85</v>
      </c>
      <c r="K27" s="119">
        <v>85</v>
      </c>
      <c r="L27" s="119">
        <v>85</v>
      </c>
      <c r="M27" s="119">
        <v>85</v>
      </c>
    </row>
    <row r="28" spans="1:20" ht="31.5" x14ac:dyDescent="0.25">
      <c r="A28" s="138" t="s">
        <v>345</v>
      </c>
      <c r="B28" s="301" t="s">
        <v>163</v>
      </c>
      <c r="C28" s="35" t="s">
        <v>96</v>
      </c>
      <c r="D28" s="116"/>
      <c r="E28" s="129">
        <v>15</v>
      </c>
      <c r="F28" s="130">
        <v>15</v>
      </c>
      <c r="G28" s="139">
        <v>16.5</v>
      </c>
      <c r="H28" s="119">
        <v>18.3</v>
      </c>
      <c r="I28" s="119">
        <v>19.100000000000001</v>
      </c>
      <c r="J28" s="119">
        <v>19.5</v>
      </c>
      <c r="K28" s="119">
        <v>19.5</v>
      </c>
      <c r="L28" s="119">
        <v>19.5</v>
      </c>
      <c r="M28" s="119">
        <v>19.5</v>
      </c>
    </row>
    <row r="29" spans="1:20" x14ac:dyDescent="0.25">
      <c r="A29" s="210"/>
      <c r="B29" s="211"/>
      <c r="C29" s="212"/>
      <c r="D29" s="213"/>
      <c r="E29" s="213"/>
      <c r="F29" s="213"/>
      <c r="G29" s="213"/>
      <c r="H29" s="214"/>
      <c r="I29" s="214"/>
      <c r="J29" s="214"/>
    </row>
    <row r="30" spans="1:20" ht="20.25" customHeight="1" x14ac:dyDescent="0.25">
      <c r="A30" s="210"/>
      <c r="B30" s="211"/>
      <c r="C30" s="212"/>
      <c r="D30" s="213"/>
      <c r="E30" s="213"/>
      <c r="F30" s="213"/>
      <c r="G30" s="213"/>
      <c r="H30" s="214"/>
      <c r="I30" s="214"/>
      <c r="J30" s="214"/>
    </row>
    <row r="31" spans="1:20" ht="26.25" customHeight="1" x14ac:dyDescent="0.3">
      <c r="A31" s="307" t="s">
        <v>33</v>
      </c>
      <c r="B31" s="307"/>
      <c r="C31" s="307"/>
      <c r="D31" s="308"/>
      <c r="E31" s="308"/>
      <c r="F31" s="308"/>
      <c r="G31" s="309"/>
      <c r="H31" s="310" t="s">
        <v>34</v>
      </c>
      <c r="I31" s="310"/>
      <c r="J31" s="311"/>
    </row>
  </sheetData>
  <mergeCells count="19">
    <mergeCell ref="A7:L7"/>
    <mergeCell ref="A13:L13"/>
    <mergeCell ref="A24:L24"/>
    <mergeCell ref="I3:I5"/>
    <mergeCell ref="J3:J5"/>
    <mergeCell ref="K3:K5"/>
    <mergeCell ref="L3:L5"/>
    <mergeCell ref="M3:M5"/>
    <mergeCell ref="A6:L6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4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42"/>
  <sheetViews>
    <sheetView view="pageBreakPreview" topLeftCell="G1" zoomScale="98" zoomScaleNormal="98" zoomScaleSheetLayoutView="98" workbookViewId="0">
      <selection activeCell="P99" sqref="P99"/>
    </sheetView>
  </sheetViews>
  <sheetFormatPr defaultColWidth="9.28515625" defaultRowHeight="15.75" x14ac:dyDescent="0.25"/>
  <cols>
    <col min="1" max="1" width="6.5703125" style="293" customWidth="1"/>
    <col min="2" max="2" width="60.7109375" style="384" customWidth="1"/>
    <col min="3" max="3" width="21.7109375" style="294" customWidth="1"/>
    <col min="4" max="5" width="9.28515625" style="294"/>
    <col min="6" max="6" width="14.85546875" style="294" customWidth="1"/>
    <col min="7" max="7" width="12.42578125" style="294" customWidth="1"/>
    <col min="8" max="8" width="12.7109375" style="294" customWidth="1"/>
    <col min="9" max="12" width="12.7109375" style="54" customWidth="1"/>
    <col min="13" max="13" width="15.28515625" style="54" customWidth="1"/>
    <col min="14" max="17" width="12.7109375" style="54" customWidth="1"/>
    <col min="18" max="18" width="55.5703125" style="54" customWidth="1"/>
    <col min="19" max="19" width="12" style="54" customWidth="1"/>
    <col min="20" max="20" width="15.42578125" style="54" customWidth="1"/>
    <col min="21" max="21" width="21.28515625" style="54" customWidth="1"/>
    <col min="22" max="16384" width="9.28515625" style="54"/>
  </cols>
  <sheetData>
    <row r="1" spans="1:21" s="179" customFormat="1" ht="39" customHeight="1" x14ac:dyDescent="0.25">
      <c r="A1" s="218"/>
      <c r="B1" s="312"/>
      <c r="C1" s="220"/>
      <c r="D1" s="220"/>
      <c r="E1" s="220"/>
      <c r="F1" s="220"/>
      <c r="G1" s="220"/>
      <c r="H1" s="220"/>
      <c r="I1" s="221"/>
      <c r="J1" s="221"/>
      <c r="O1" s="110" t="s">
        <v>346</v>
      </c>
      <c r="P1" s="110"/>
      <c r="Q1" s="110"/>
      <c r="R1" s="110"/>
      <c r="S1" s="223"/>
      <c r="T1" s="223"/>
      <c r="U1" s="223"/>
    </row>
    <row r="2" spans="1:21" s="179" customFormat="1" ht="23.25" customHeight="1" x14ac:dyDescent="0.25">
      <c r="A2" s="224" t="s">
        <v>257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313"/>
    </row>
    <row r="3" spans="1:21" s="179" customFormat="1" ht="24.75" customHeight="1" x14ac:dyDescent="0.25">
      <c r="A3" s="51" t="s">
        <v>88</v>
      </c>
      <c r="B3" s="34" t="s">
        <v>258</v>
      </c>
      <c r="C3" s="51" t="s">
        <v>7</v>
      </c>
      <c r="D3" s="51" t="s">
        <v>5</v>
      </c>
      <c r="E3" s="51"/>
      <c r="F3" s="51"/>
      <c r="G3" s="51"/>
      <c r="H3" s="51" t="s">
        <v>6</v>
      </c>
      <c r="I3" s="51"/>
      <c r="J3" s="51"/>
      <c r="K3" s="51"/>
      <c r="L3" s="51"/>
      <c r="M3" s="51"/>
      <c r="N3" s="51"/>
      <c r="O3" s="51"/>
      <c r="P3" s="51"/>
      <c r="Q3" s="51"/>
      <c r="R3" s="51" t="s">
        <v>259</v>
      </c>
    </row>
    <row r="4" spans="1:21" s="179" customFormat="1" ht="42" customHeight="1" x14ac:dyDescent="0.25">
      <c r="A4" s="51"/>
      <c r="B4" s="34"/>
      <c r="C4" s="51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1"/>
    </row>
    <row r="5" spans="1:21" ht="26.25" customHeight="1" x14ac:dyDescent="0.25">
      <c r="A5" s="34" t="s">
        <v>347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4" customHeight="1" x14ac:dyDescent="0.25">
      <c r="A6" s="225" t="s">
        <v>325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</row>
    <row r="7" spans="1:21" s="216" customFormat="1" ht="79.5" customHeight="1" x14ac:dyDescent="0.2">
      <c r="A7" s="36" t="s">
        <v>124</v>
      </c>
      <c r="B7" s="31" t="s">
        <v>348</v>
      </c>
      <c r="C7" s="12" t="s">
        <v>17</v>
      </c>
      <c r="D7" s="314">
        <v>975</v>
      </c>
      <c r="E7" s="314" t="s">
        <v>349</v>
      </c>
      <c r="F7" s="314" t="s">
        <v>350</v>
      </c>
      <c r="G7" s="314" t="s">
        <v>351</v>
      </c>
      <c r="H7" s="315">
        <v>1103.3</v>
      </c>
      <c r="I7" s="315">
        <v>0</v>
      </c>
      <c r="J7" s="315">
        <v>0</v>
      </c>
      <c r="K7" s="315">
        <f>479.9+800+106.1</f>
        <v>1386</v>
      </c>
      <c r="L7" s="315"/>
      <c r="M7" s="315"/>
      <c r="N7" s="315"/>
      <c r="O7" s="315"/>
      <c r="P7" s="315">
        <f>O7</f>
        <v>0</v>
      </c>
      <c r="Q7" s="315">
        <f>SUM(H7:P7)</f>
        <v>2489.3000000000002</v>
      </c>
      <c r="R7" s="316" t="s">
        <v>352</v>
      </c>
      <c r="S7" s="317"/>
    </row>
    <row r="8" spans="1:21" ht="35.1" customHeight="1" x14ac:dyDescent="0.25">
      <c r="A8" s="318" t="s">
        <v>127</v>
      </c>
      <c r="B8" s="319" t="s">
        <v>353</v>
      </c>
      <c r="C8" s="41" t="s">
        <v>17</v>
      </c>
      <c r="D8" s="320" t="s">
        <v>18</v>
      </c>
      <c r="E8" s="320" t="s">
        <v>349</v>
      </c>
      <c r="F8" s="320" t="s">
        <v>354</v>
      </c>
      <c r="G8" s="320" t="s">
        <v>266</v>
      </c>
      <c r="H8" s="315">
        <v>2319.5</v>
      </c>
      <c r="I8" s="315">
        <v>6037.2</v>
      </c>
      <c r="J8" s="315">
        <v>3775.2</v>
      </c>
      <c r="K8" s="315">
        <v>6081.4</v>
      </c>
      <c r="L8" s="315">
        <v>2601.9</v>
      </c>
      <c r="M8" s="315">
        <v>2151.5</v>
      </c>
      <c r="N8" s="315"/>
      <c r="O8" s="315"/>
      <c r="P8" s="315">
        <f t="shared" ref="P8:P29" si="0">O8</f>
        <v>0</v>
      </c>
      <c r="Q8" s="315">
        <f t="shared" ref="Q8:Q29" si="1">SUM(H8:P8)</f>
        <v>22966.700000000004</v>
      </c>
      <c r="R8" s="321" t="s">
        <v>355</v>
      </c>
    </row>
    <row r="9" spans="1:21" ht="35.1" customHeight="1" x14ac:dyDescent="0.25">
      <c r="A9" s="318"/>
      <c r="B9" s="322"/>
      <c r="C9" s="43"/>
      <c r="D9" s="320" t="s">
        <v>18</v>
      </c>
      <c r="E9" s="320" t="s">
        <v>349</v>
      </c>
      <c r="F9" s="320" t="s">
        <v>354</v>
      </c>
      <c r="G9" s="320" t="s">
        <v>268</v>
      </c>
      <c r="H9" s="315">
        <v>389.7</v>
      </c>
      <c r="I9" s="315">
        <v>590.1</v>
      </c>
      <c r="J9" s="315">
        <v>889.8</v>
      </c>
      <c r="K9" s="315">
        <f>407.7+80.2+100+235.4</f>
        <v>823.3</v>
      </c>
      <c r="L9" s="315">
        <v>1366.1</v>
      </c>
      <c r="M9" s="315">
        <v>687.2</v>
      </c>
      <c r="N9" s="315"/>
      <c r="O9" s="315"/>
      <c r="P9" s="315">
        <f t="shared" si="0"/>
        <v>0</v>
      </c>
      <c r="Q9" s="315">
        <f t="shared" si="1"/>
        <v>4746.2</v>
      </c>
      <c r="R9" s="323"/>
    </row>
    <row r="10" spans="1:21" ht="35.1" customHeight="1" x14ac:dyDescent="0.25">
      <c r="A10" s="318"/>
      <c r="B10" s="322"/>
      <c r="C10" s="43"/>
      <c r="D10" s="320" t="s">
        <v>18</v>
      </c>
      <c r="E10" s="320" t="s">
        <v>349</v>
      </c>
      <c r="F10" s="320" t="s">
        <v>354</v>
      </c>
      <c r="G10" s="320" t="s">
        <v>296</v>
      </c>
      <c r="H10" s="315"/>
      <c r="I10" s="315"/>
      <c r="J10" s="315"/>
      <c r="K10" s="315"/>
      <c r="L10" s="315">
        <v>612.20000000000005</v>
      </c>
      <c r="M10" s="315"/>
      <c r="N10" s="315"/>
      <c r="O10" s="315"/>
      <c r="P10" s="315">
        <f t="shared" si="0"/>
        <v>0</v>
      </c>
      <c r="Q10" s="315">
        <f t="shared" si="1"/>
        <v>612.20000000000005</v>
      </c>
      <c r="R10" s="323"/>
    </row>
    <row r="11" spans="1:21" ht="35.1" customHeight="1" x14ac:dyDescent="0.25">
      <c r="A11" s="318"/>
      <c r="B11" s="322"/>
      <c r="C11" s="43"/>
      <c r="D11" s="320" t="s">
        <v>18</v>
      </c>
      <c r="E11" s="320" t="s">
        <v>349</v>
      </c>
      <c r="F11" s="320" t="s">
        <v>356</v>
      </c>
      <c r="G11" s="320" t="s">
        <v>266</v>
      </c>
      <c r="H11" s="315">
        <v>0</v>
      </c>
      <c r="I11" s="315">
        <v>0</v>
      </c>
      <c r="J11" s="315">
        <v>531.20000000000005</v>
      </c>
      <c r="K11" s="315">
        <v>959.7</v>
      </c>
      <c r="L11" s="315">
        <v>486.3</v>
      </c>
      <c r="M11" s="315">
        <v>828.9</v>
      </c>
      <c r="N11" s="315"/>
      <c r="O11" s="315"/>
      <c r="P11" s="315">
        <f t="shared" si="0"/>
        <v>0</v>
      </c>
      <c r="Q11" s="315">
        <f t="shared" si="1"/>
        <v>2806.1</v>
      </c>
      <c r="R11" s="323"/>
    </row>
    <row r="12" spans="1:21" ht="35.1" customHeight="1" x14ac:dyDescent="0.25">
      <c r="A12" s="318"/>
      <c r="B12" s="322"/>
      <c r="C12" s="43"/>
      <c r="D12" s="320" t="s">
        <v>18</v>
      </c>
      <c r="E12" s="320" t="s">
        <v>349</v>
      </c>
      <c r="F12" s="320" t="s">
        <v>356</v>
      </c>
      <c r="G12" s="320" t="s">
        <v>268</v>
      </c>
      <c r="H12" s="315">
        <v>0</v>
      </c>
      <c r="I12" s="315">
        <v>0</v>
      </c>
      <c r="J12" s="315">
        <v>278.7</v>
      </c>
      <c r="K12" s="315">
        <v>0</v>
      </c>
      <c r="L12" s="315">
        <v>423</v>
      </c>
      <c r="M12" s="315">
        <v>94</v>
      </c>
      <c r="N12" s="315"/>
      <c r="O12" s="315"/>
      <c r="P12" s="315">
        <f t="shared" si="0"/>
        <v>0</v>
      </c>
      <c r="Q12" s="315">
        <f t="shared" si="1"/>
        <v>795.7</v>
      </c>
      <c r="R12" s="323"/>
    </row>
    <row r="13" spans="1:21" ht="35.1" customHeight="1" x14ac:dyDescent="0.25">
      <c r="A13" s="318"/>
      <c r="B13" s="322"/>
      <c r="C13" s="43"/>
      <c r="D13" s="320" t="s">
        <v>18</v>
      </c>
      <c r="E13" s="320" t="s">
        <v>349</v>
      </c>
      <c r="F13" s="320" t="s">
        <v>357</v>
      </c>
      <c r="G13" s="320" t="s">
        <v>266</v>
      </c>
      <c r="H13" s="315">
        <v>0</v>
      </c>
      <c r="I13" s="315">
        <v>0</v>
      </c>
      <c r="J13" s="315">
        <v>106.2</v>
      </c>
      <c r="K13" s="315">
        <v>48</v>
      </c>
      <c r="L13" s="315"/>
      <c r="M13" s="315"/>
      <c r="N13" s="315"/>
      <c r="O13" s="315"/>
      <c r="P13" s="315">
        <f t="shared" si="0"/>
        <v>0</v>
      </c>
      <c r="Q13" s="315">
        <f t="shared" si="1"/>
        <v>154.19999999999999</v>
      </c>
      <c r="R13" s="323"/>
    </row>
    <row r="14" spans="1:21" ht="35.1" customHeight="1" x14ac:dyDescent="0.25">
      <c r="A14" s="318"/>
      <c r="B14" s="322"/>
      <c r="C14" s="43"/>
      <c r="D14" s="320" t="s">
        <v>18</v>
      </c>
      <c r="E14" s="320" t="s">
        <v>349</v>
      </c>
      <c r="F14" s="320" t="s">
        <v>357</v>
      </c>
      <c r="G14" s="320" t="s">
        <v>268</v>
      </c>
      <c r="H14" s="315">
        <v>0</v>
      </c>
      <c r="I14" s="315">
        <v>0</v>
      </c>
      <c r="J14" s="315">
        <v>55.8</v>
      </c>
      <c r="K14" s="315">
        <v>0</v>
      </c>
      <c r="L14" s="315">
        <v>46</v>
      </c>
      <c r="M14" s="315">
        <v>47.3</v>
      </c>
      <c r="N14" s="315"/>
      <c r="O14" s="315"/>
      <c r="P14" s="315">
        <f t="shared" si="0"/>
        <v>0</v>
      </c>
      <c r="Q14" s="315">
        <f t="shared" si="1"/>
        <v>149.1</v>
      </c>
      <c r="R14" s="323"/>
    </row>
    <row r="15" spans="1:21" ht="35.1" customHeight="1" x14ac:dyDescent="0.25">
      <c r="A15" s="36"/>
      <c r="B15" s="322"/>
      <c r="C15" s="43"/>
      <c r="D15" s="320" t="s">
        <v>18</v>
      </c>
      <c r="E15" s="320" t="s">
        <v>349</v>
      </c>
      <c r="F15" s="320" t="s">
        <v>358</v>
      </c>
      <c r="G15" s="320" t="s">
        <v>266</v>
      </c>
      <c r="H15" s="315"/>
      <c r="I15" s="315"/>
      <c r="J15" s="315"/>
      <c r="K15" s="315"/>
      <c r="L15" s="315"/>
      <c r="M15" s="315">
        <f>2957.5-160</f>
        <v>2797.5</v>
      </c>
      <c r="N15" s="315"/>
      <c r="O15" s="315"/>
      <c r="P15" s="315">
        <f t="shared" si="0"/>
        <v>0</v>
      </c>
      <c r="Q15" s="315">
        <f t="shared" si="1"/>
        <v>2797.5</v>
      </c>
      <c r="R15" s="323"/>
    </row>
    <row r="16" spans="1:21" ht="35.1" customHeight="1" x14ac:dyDescent="0.25">
      <c r="A16" s="36"/>
      <c r="B16" s="322"/>
      <c r="C16" s="43"/>
      <c r="D16" s="320" t="s">
        <v>18</v>
      </c>
      <c r="E16" s="320" t="s">
        <v>349</v>
      </c>
      <c r="F16" s="320" t="s">
        <v>358</v>
      </c>
      <c r="G16" s="320" t="s">
        <v>266</v>
      </c>
      <c r="H16" s="315"/>
      <c r="I16" s="315"/>
      <c r="J16" s="315"/>
      <c r="K16" s="315"/>
      <c r="L16" s="315"/>
      <c r="M16" s="315">
        <v>160</v>
      </c>
      <c r="N16" s="315"/>
      <c r="O16" s="315"/>
      <c r="P16" s="315">
        <f t="shared" si="0"/>
        <v>0</v>
      </c>
      <c r="Q16" s="315">
        <f t="shared" si="1"/>
        <v>160</v>
      </c>
      <c r="R16" s="323"/>
    </row>
    <row r="17" spans="1:18" ht="35.1" customHeight="1" x14ac:dyDescent="0.25">
      <c r="A17" s="36"/>
      <c r="B17" s="322"/>
      <c r="C17" s="43"/>
      <c r="D17" s="320" t="s">
        <v>18</v>
      </c>
      <c r="E17" s="320" t="s">
        <v>349</v>
      </c>
      <c r="F17" s="320" t="s">
        <v>359</v>
      </c>
      <c r="G17" s="320" t="s">
        <v>360</v>
      </c>
      <c r="H17" s="315"/>
      <c r="I17" s="315"/>
      <c r="J17" s="315"/>
      <c r="K17" s="315"/>
      <c r="L17" s="315">
        <v>4549.5</v>
      </c>
      <c r="M17" s="315">
        <v>3564.6</v>
      </c>
      <c r="N17" s="315"/>
      <c r="O17" s="315"/>
      <c r="P17" s="315">
        <f t="shared" si="0"/>
        <v>0</v>
      </c>
      <c r="Q17" s="315">
        <f t="shared" si="1"/>
        <v>8114.1</v>
      </c>
      <c r="R17" s="323"/>
    </row>
    <row r="18" spans="1:18" ht="35.1" customHeight="1" x14ac:dyDescent="0.25">
      <c r="A18" s="36"/>
      <c r="B18" s="322"/>
      <c r="C18" s="43"/>
      <c r="D18" s="320" t="s">
        <v>18</v>
      </c>
      <c r="E18" s="320" t="s">
        <v>349</v>
      </c>
      <c r="F18" s="320" t="s">
        <v>361</v>
      </c>
      <c r="G18" s="320" t="s">
        <v>360</v>
      </c>
      <c r="H18" s="315"/>
      <c r="I18" s="315"/>
      <c r="J18" s="315"/>
      <c r="K18" s="315"/>
      <c r="L18" s="315">
        <v>505.5</v>
      </c>
      <c r="M18" s="315">
        <v>39.799999999999997</v>
      </c>
      <c r="N18" s="315"/>
      <c r="O18" s="315"/>
      <c r="P18" s="315">
        <f t="shared" si="0"/>
        <v>0</v>
      </c>
      <c r="Q18" s="315">
        <f t="shared" si="1"/>
        <v>545.29999999999995</v>
      </c>
      <c r="R18" s="323"/>
    </row>
    <row r="19" spans="1:18" ht="35.1" customHeight="1" x14ac:dyDescent="0.25">
      <c r="A19" s="36"/>
      <c r="B19" s="324"/>
      <c r="C19" s="76"/>
      <c r="D19" s="320"/>
      <c r="E19" s="320" t="s">
        <v>349</v>
      </c>
      <c r="F19" s="320" t="s">
        <v>362</v>
      </c>
      <c r="G19" s="325">
        <v>240</v>
      </c>
      <c r="H19" s="315"/>
      <c r="I19" s="315"/>
      <c r="J19" s="315"/>
      <c r="K19" s="315"/>
      <c r="L19" s="315"/>
      <c r="M19" s="315">
        <v>7000</v>
      </c>
      <c r="N19" s="315"/>
      <c r="O19" s="315"/>
      <c r="P19" s="315">
        <f t="shared" si="0"/>
        <v>0</v>
      </c>
      <c r="Q19" s="315">
        <f t="shared" si="1"/>
        <v>7000</v>
      </c>
      <c r="R19" s="326"/>
    </row>
    <row r="20" spans="1:18" ht="35.1" customHeight="1" x14ac:dyDescent="0.25">
      <c r="A20" s="318" t="s">
        <v>129</v>
      </c>
      <c r="B20" s="327" t="s">
        <v>363</v>
      </c>
      <c r="C20" s="51" t="s">
        <v>17</v>
      </c>
      <c r="D20" s="320" t="s">
        <v>18</v>
      </c>
      <c r="E20" s="320" t="s">
        <v>364</v>
      </c>
      <c r="F20" s="320" t="s">
        <v>365</v>
      </c>
      <c r="G20" s="320" t="s">
        <v>266</v>
      </c>
      <c r="H20" s="315">
        <v>5267.9</v>
      </c>
      <c r="I20" s="315">
        <v>4744.6000000000004</v>
      </c>
      <c r="J20" s="315">
        <v>5833</v>
      </c>
      <c r="K20" s="315">
        <v>6378.5</v>
      </c>
      <c r="L20" s="315">
        <v>8215.2000000000007</v>
      </c>
      <c r="M20" s="315">
        <v>8509.6</v>
      </c>
      <c r="N20" s="315">
        <v>8450</v>
      </c>
      <c r="O20" s="315">
        <v>8450</v>
      </c>
      <c r="P20" s="315">
        <f t="shared" si="0"/>
        <v>8450</v>
      </c>
      <c r="Q20" s="315">
        <f t="shared" si="1"/>
        <v>64298.8</v>
      </c>
      <c r="R20" s="34" t="s">
        <v>366</v>
      </c>
    </row>
    <row r="21" spans="1:18" ht="35.1" customHeight="1" x14ac:dyDescent="0.25">
      <c r="A21" s="318"/>
      <c r="B21" s="327"/>
      <c r="C21" s="51"/>
      <c r="D21" s="320" t="s">
        <v>18</v>
      </c>
      <c r="E21" s="320" t="s">
        <v>364</v>
      </c>
      <c r="F21" s="320" t="s">
        <v>365</v>
      </c>
      <c r="G21" s="320" t="s">
        <v>268</v>
      </c>
      <c r="H21" s="315">
        <v>1080.8</v>
      </c>
      <c r="I21" s="315">
        <v>1020.8</v>
      </c>
      <c r="J21" s="315">
        <v>1237.7</v>
      </c>
      <c r="K21" s="315">
        <v>1529.5</v>
      </c>
      <c r="L21" s="315">
        <v>1757.5</v>
      </c>
      <c r="M21" s="315">
        <v>1608.6</v>
      </c>
      <c r="N21" s="315">
        <v>1675.8</v>
      </c>
      <c r="O21" s="315">
        <v>1675.8</v>
      </c>
      <c r="P21" s="315">
        <f t="shared" si="0"/>
        <v>1675.8</v>
      </c>
      <c r="Q21" s="315">
        <f t="shared" si="1"/>
        <v>13262.299999999997</v>
      </c>
      <c r="R21" s="34"/>
    </row>
    <row r="22" spans="1:18" ht="35.1" customHeight="1" x14ac:dyDescent="0.25">
      <c r="A22" s="318"/>
      <c r="B22" s="327"/>
      <c r="C22" s="51"/>
      <c r="D22" s="320" t="s">
        <v>18</v>
      </c>
      <c r="E22" s="320" t="s">
        <v>364</v>
      </c>
      <c r="F22" s="320" t="s">
        <v>367</v>
      </c>
      <c r="G22" s="320" t="s">
        <v>266</v>
      </c>
      <c r="H22" s="315">
        <v>0</v>
      </c>
      <c r="I22" s="315">
        <v>0</v>
      </c>
      <c r="J22" s="315">
        <v>187.8</v>
      </c>
      <c r="K22" s="315">
        <v>0</v>
      </c>
      <c r="L22" s="315">
        <v>0</v>
      </c>
      <c r="M22" s="315">
        <v>0</v>
      </c>
      <c r="N22" s="315">
        <v>0</v>
      </c>
      <c r="O22" s="315">
        <v>0</v>
      </c>
      <c r="P22" s="315">
        <f t="shared" si="0"/>
        <v>0</v>
      </c>
      <c r="Q22" s="315">
        <f t="shared" si="1"/>
        <v>187.8</v>
      </c>
      <c r="R22" s="34"/>
    </row>
    <row r="23" spans="1:18" ht="35.1" customHeight="1" x14ac:dyDescent="0.25">
      <c r="A23" s="318"/>
      <c r="B23" s="327"/>
      <c r="C23" s="51"/>
      <c r="D23" s="320" t="s">
        <v>18</v>
      </c>
      <c r="E23" s="320" t="s">
        <v>364</v>
      </c>
      <c r="F23" s="320" t="s">
        <v>367</v>
      </c>
      <c r="G23" s="320" t="s">
        <v>268</v>
      </c>
      <c r="H23" s="315">
        <v>0</v>
      </c>
      <c r="I23" s="315">
        <v>0</v>
      </c>
      <c r="J23" s="315">
        <v>101.5</v>
      </c>
      <c r="K23" s="315">
        <v>0</v>
      </c>
      <c r="L23" s="315">
        <v>0</v>
      </c>
      <c r="M23" s="315">
        <v>0</v>
      </c>
      <c r="N23" s="315">
        <v>0</v>
      </c>
      <c r="O23" s="315">
        <v>0</v>
      </c>
      <c r="P23" s="315">
        <f t="shared" si="0"/>
        <v>0</v>
      </c>
      <c r="Q23" s="315">
        <f t="shared" si="1"/>
        <v>101.5</v>
      </c>
      <c r="R23" s="34"/>
    </row>
    <row r="24" spans="1:18" s="82" customFormat="1" ht="62.25" customHeight="1" x14ac:dyDescent="0.25">
      <c r="A24" s="328" t="s">
        <v>132</v>
      </c>
      <c r="B24" s="329" t="s">
        <v>368</v>
      </c>
      <c r="C24" s="31" t="s">
        <v>17</v>
      </c>
      <c r="D24" s="320" t="s">
        <v>18</v>
      </c>
      <c r="E24" s="320" t="s">
        <v>349</v>
      </c>
      <c r="F24" s="320" t="s">
        <v>369</v>
      </c>
      <c r="G24" s="320" t="s">
        <v>266</v>
      </c>
      <c r="H24" s="315"/>
      <c r="I24" s="315">
        <v>694</v>
      </c>
      <c r="J24" s="315"/>
      <c r="K24" s="315"/>
      <c r="L24" s="315"/>
      <c r="M24" s="315"/>
      <c r="N24" s="315"/>
      <c r="O24" s="315"/>
      <c r="P24" s="315">
        <f t="shared" si="0"/>
        <v>0</v>
      </c>
      <c r="Q24" s="315">
        <f t="shared" si="1"/>
        <v>694</v>
      </c>
      <c r="R24" s="330"/>
    </row>
    <row r="25" spans="1:18" s="82" customFormat="1" ht="63.75" customHeight="1" x14ac:dyDescent="0.25">
      <c r="A25" s="328" t="s">
        <v>134</v>
      </c>
      <c r="B25" s="329" t="s">
        <v>370</v>
      </c>
      <c r="C25" s="31" t="s">
        <v>17</v>
      </c>
      <c r="D25" s="320" t="s">
        <v>18</v>
      </c>
      <c r="E25" s="320" t="s">
        <v>349</v>
      </c>
      <c r="F25" s="320" t="s">
        <v>371</v>
      </c>
      <c r="G25" s="320" t="s">
        <v>266</v>
      </c>
      <c r="H25" s="315">
        <v>0</v>
      </c>
      <c r="I25" s="315">
        <v>7.3</v>
      </c>
      <c r="J25" s="315"/>
      <c r="K25" s="315"/>
      <c r="L25" s="315"/>
      <c r="M25" s="315"/>
      <c r="N25" s="315"/>
      <c r="O25" s="315"/>
      <c r="P25" s="315">
        <f t="shared" si="0"/>
        <v>0</v>
      </c>
      <c r="Q25" s="315">
        <f t="shared" si="1"/>
        <v>7.3</v>
      </c>
      <c r="R25" s="330"/>
    </row>
    <row r="26" spans="1:18" ht="46.5" customHeight="1" x14ac:dyDescent="0.25">
      <c r="A26" s="328" t="s">
        <v>372</v>
      </c>
      <c r="B26" s="329" t="s">
        <v>373</v>
      </c>
      <c r="C26" s="31" t="s">
        <v>17</v>
      </c>
      <c r="D26" s="320" t="s">
        <v>18</v>
      </c>
      <c r="E26" s="320" t="s">
        <v>349</v>
      </c>
      <c r="F26" s="320" t="s">
        <v>374</v>
      </c>
      <c r="G26" s="320" t="s">
        <v>375</v>
      </c>
      <c r="H26" s="315"/>
      <c r="I26" s="315"/>
      <c r="J26" s="315">
        <v>6.8</v>
      </c>
      <c r="K26" s="315">
        <f>6.8+86.4</f>
        <v>93.2</v>
      </c>
      <c r="L26" s="315">
        <f>46.4+46.8</f>
        <v>93.199999999999989</v>
      </c>
      <c r="M26" s="315">
        <v>7.9</v>
      </c>
      <c r="N26" s="315"/>
      <c r="O26" s="315"/>
      <c r="P26" s="315">
        <f t="shared" si="0"/>
        <v>0</v>
      </c>
      <c r="Q26" s="315">
        <f t="shared" si="1"/>
        <v>201.1</v>
      </c>
      <c r="R26" s="34" t="s">
        <v>376</v>
      </c>
    </row>
    <row r="27" spans="1:18" ht="35.1" customHeight="1" x14ac:dyDescent="0.25">
      <c r="A27" s="318" t="s">
        <v>377</v>
      </c>
      <c r="B27" s="327" t="s">
        <v>378</v>
      </c>
      <c r="C27" s="34" t="s">
        <v>17</v>
      </c>
      <c r="D27" s="320" t="s">
        <v>18</v>
      </c>
      <c r="E27" s="320" t="s">
        <v>349</v>
      </c>
      <c r="F27" s="320" t="s">
        <v>374</v>
      </c>
      <c r="G27" s="320" t="s">
        <v>375</v>
      </c>
      <c r="H27" s="315"/>
      <c r="I27" s="315"/>
      <c r="J27" s="315">
        <v>16.7</v>
      </c>
      <c r="K27" s="315">
        <f>10.1+2</f>
        <v>12.1</v>
      </c>
      <c r="L27" s="315">
        <v>10.5</v>
      </c>
      <c r="M27" s="315">
        <v>1.9</v>
      </c>
      <c r="N27" s="315"/>
      <c r="O27" s="315"/>
      <c r="P27" s="315">
        <f t="shared" si="0"/>
        <v>0</v>
      </c>
      <c r="Q27" s="315">
        <f t="shared" si="1"/>
        <v>41.199999999999996</v>
      </c>
      <c r="R27" s="34"/>
    </row>
    <row r="28" spans="1:18" ht="35.1" customHeight="1" x14ac:dyDescent="0.25">
      <c r="A28" s="318"/>
      <c r="B28" s="327"/>
      <c r="C28" s="34"/>
      <c r="D28" s="320" t="s">
        <v>18</v>
      </c>
      <c r="E28" s="320" t="s">
        <v>349</v>
      </c>
      <c r="F28" s="320" t="s">
        <v>379</v>
      </c>
      <c r="G28" s="320" t="s">
        <v>268</v>
      </c>
      <c r="H28" s="315"/>
      <c r="I28" s="315"/>
      <c r="J28" s="315">
        <v>7.2</v>
      </c>
      <c r="K28" s="315"/>
      <c r="L28" s="315"/>
      <c r="M28" s="315"/>
      <c r="N28" s="315"/>
      <c r="O28" s="315"/>
      <c r="P28" s="315">
        <f t="shared" si="0"/>
        <v>0</v>
      </c>
      <c r="Q28" s="315">
        <f t="shared" si="1"/>
        <v>7.2</v>
      </c>
      <c r="R28" s="34"/>
    </row>
    <row r="29" spans="1:18" ht="35.1" customHeight="1" x14ac:dyDescent="0.25">
      <c r="A29" s="331" t="s">
        <v>318</v>
      </c>
      <c r="B29" s="331"/>
      <c r="C29" s="332"/>
      <c r="D29" s="333"/>
      <c r="E29" s="333"/>
      <c r="F29" s="333"/>
      <c r="G29" s="333"/>
      <c r="H29" s="73">
        <f t="shared" ref="H29:N29" si="2">SUM(H7:H28)</f>
        <v>10161.199999999999</v>
      </c>
      <c r="I29" s="73">
        <f t="shared" si="2"/>
        <v>13094</v>
      </c>
      <c r="J29" s="73">
        <f t="shared" si="2"/>
        <v>13027.6</v>
      </c>
      <c r="K29" s="73">
        <f t="shared" si="2"/>
        <v>17311.7</v>
      </c>
      <c r="L29" s="73">
        <f t="shared" si="2"/>
        <v>20666.900000000001</v>
      </c>
      <c r="M29" s="73">
        <f t="shared" si="2"/>
        <v>27498.800000000003</v>
      </c>
      <c r="N29" s="73">
        <f t="shared" si="2"/>
        <v>10125.799999999999</v>
      </c>
      <c r="O29" s="73">
        <f>SUM(O7:O28)</f>
        <v>10125.799999999999</v>
      </c>
      <c r="P29" s="315">
        <f t="shared" si="0"/>
        <v>10125.799999999999</v>
      </c>
      <c r="Q29" s="315">
        <f t="shared" si="1"/>
        <v>132137.60000000001</v>
      </c>
      <c r="R29" s="334"/>
    </row>
    <row r="30" spans="1:18" ht="33" customHeight="1" x14ac:dyDescent="0.25">
      <c r="A30" s="225" t="s">
        <v>328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</row>
    <row r="31" spans="1:18" ht="35.1" customHeight="1" x14ac:dyDescent="0.25">
      <c r="A31" s="335" t="s">
        <v>137</v>
      </c>
      <c r="B31" s="327" t="s">
        <v>380</v>
      </c>
      <c r="C31" s="34"/>
      <c r="D31" s="31" t="s">
        <v>18</v>
      </c>
      <c r="E31" s="325" t="s">
        <v>349</v>
      </c>
      <c r="F31" s="320" t="s">
        <v>354</v>
      </c>
      <c r="G31" s="325">
        <v>110</v>
      </c>
      <c r="H31" s="315">
        <v>13238</v>
      </c>
      <c r="I31" s="315">
        <v>13739.9</v>
      </c>
      <c r="J31" s="315">
        <v>12713.2</v>
      </c>
      <c r="K31" s="315">
        <v>12251.6</v>
      </c>
      <c r="L31" s="315">
        <v>11621.6</v>
      </c>
      <c r="M31" s="315">
        <v>6639.3</v>
      </c>
      <c r="N31" s="315">
        <v>0</v>
      </c>
      <c r="O31" s="315">
        <v>0</v>
      </c>
      <c r="P31" s="315">
        <v>0</v>
      </c>
      <c r="Q31" s="315">
        <f>SUM(H31:P31)</f>
        <v>70203.600000000006</v>
      </c>
      <c r="R31" s="34" t="s">
        <v>381</v>
      </c>
    </row>
    <row r="32" spans="1:18" ht="35.1" customHeight="1" x14ac:dyDescent="0.25">
      <c r="A32" s="335"/>
      <c r="B32" s="327"/>
      <c r="C32" s="34"/>
      <c r="D32" s="31" t="s">
        <v>18</v>
      </c>
      <c r="E32" s="325" t="s">
        <v>349</v>
      </c>
      <c r="F32" s="320" t="s">
        <v>354</v>
      </c>
      <c r="G32" s="325">
        <v>240</v>
      </c>
      <c r="H32" s="315">
        <f>6496+150</f>
        <v>6646</v>
      </c>
      <c r="I32" s="315">
        <f>7475.8+89.9</f>
        <v>7565.7</v>
      </c>
      <c r="J32" s="315">
        <v>8087.8</v>
      </c>
      <c r="K32" s="315">
        <v>7359.7</v>
      </c>
      <c r="L32" s="315">
        <f>7456-L10</f>
        <v>6843.8</v>
      </c>
      <c r="M32" s="315">
        <v>3610.3</v>
      </c>
      <c r="N32" s="315">
        <v>0</v>
      </c>
      <c r="O32" s="315">
        <v>0</v>
      </c>
      <c r="P32" s="315">
        <v>0</v>
      </c>
      <c r="Q32" s="315">
        <f t="shared" ref="Q32:Q77" si="3">SUM(H32:P32)</f>
        <v>40113.300000000003</v>
      </c>
      <c r="R32" s="34"/>
    </row>
    <row r="33" spans="1:18" ht="35.1" customHeight="1" x14ac:dyDescent="0.25">
      <c r="A33" s="335"/>
      <c r="B33" s="327"/>
      <c r="C33" s="34"/>
      <c r="D33" s="31" t="s">
        <v>18</v>
      </c>
      <c r="E33" s="325" t="s">
        <v>349</v>
      </c>
      <c r="F33" s="320" t="s">
        <v>354</v>
      </c>
      <c r="G33" s="325">
        <v>611</v>
      </c>
      <c r="H33" s="315">
        <v>36650.199999999997</v>
      </c>
      <c r="I33" s="315">
        <v>39146.800000000003</v>
      </c>
      <c r="J33" s="315">
        <v>21385.4</v>
      </c>
      <c r="K33" s="315">
        <v>20376.5</v>
      </c>
      <c r="L33" s="315">
        <v>21744.3</v>
      </c>
      <c r="M33" s="315">
        <v>21115.1</v>
      </c>
      <c r="N33" s="315">
        <v>18948.400000000001</v>
      </c>
      <c r="O33" s="315">
        <v>18948.400000000001</v>
      </c>
      <c r="P33" s="315">
        <f t="shared" ref="P33:P77" si="4">O33</f>
        <v>18948.400000000001</v>
      </c>
      <c r="Q33" s="315">
        <f t="shared" si="3"/>
        <v>217263.49999999997</v>
      </c>
      <c r="R33" s="34"/>
    </row>
    <row r="34" spans="1:18" ht="35.1" customHeight="1" x14ac:dyDescent="0.25">
      <c r="A34" s="335"/>
      <c r="B34" s="327"/>
      <c r="C34" s="34"/>
      <c r="D34" s="31">
        <v>975</v>
      </c>
      <c r="E34" s="320" t="s">
        <v>349</v>
      </c>
      <c r="F34" s="320" t="s">
        <v>354</v>
      </c>
      <c r="G34" s="325">
        <v>612</v>
      </c>
      <c r="H34" s="315">
        <v>68.5</v>
      </c>
      <c r="I34" s="315"/>
      <c r="J34" s="315">
        <v>0</v>
      </c>
      <c r="K34" s="315"/>
      <c r="L34" s="315"/>
      <c r="M34" s="315"/>
      <c r="N34" s="315"/>
      <c r="O34" s="315"/>
      <c r="P34" s="315">
        <f t="shared" si="4"/>
        <v>0</v>
      </c>
      <c r="Q34" s="315">
        <f t="shared" si="3"/>
        <v>68.5</v>
      </c>
      <c r="R34" s="34"/>
    </row>
    <row r="35" spans="1:18" ht="35.1" customHeight="1" x14ac:dyDescent="0.25">
      <c r="A35" s="335"/>
      <c r="B35" s="327"/>
      <c r="C35" s="34"/>
      <c r="D35" s="31" t="s">
        <v>18</v>
      </c>
      <c r="E35" s="325" t="s">
        <v>349</v>
      </c>
      <c r="F35" s="320" t="s">
        <v>354</v>
      </c>
      <c r="G35" s="325">
        <v>621</v>
      </c>
      <c r="H35" s="315">
        <v>16861.8</v>
      </c>
      <c r="I35" s="315">
        <v>17529.8</v>
      </c>
      <c r="J35" s="315">
        <v>8899.2000000000007</v>
      </c>
      <c r="K35" s="315">
        <v>8641.4</v>
      </c>
      <c r="L35" s="315">
        <v>9217.1</v>
      </c>
      <c r="M35" s="315">
        <v>9882.6</v>
      </c>
      <c r="N35" s="315">
        <v>8791.2000000000007</v>
      </c>
      <c r="O35" s="315">
        <v>8791.2000000000007</v>
      </c>
      <c r="P35" s="315">
        <f t="shared" si="4"/>
        <v>8791.2000000000007</v>
      </c>
      <c r="Q35" s="315">
        <f t="shared" si="3"/>
        <v>97405.5</v>
      </c>
      <c r="R35" s="34"/>
    </row>
    <row r="36" spans="1:18" ht="35.1" customHeight="1" x14ac:dyDescent="0.25">
      <c r="A36" s="335"/>
      <c r="B36" s="327"/>
      <c r="C36" s="34"/>
      <c r="D36" s="31">
        <v>975</v>
      </c>
      <c r="E36" s="320" t="s">
        <v>349</v>
      </c>
      <c r="F36" s="320" t="s">
        <v>354</v>
      </c>
      <c r="G36" s="325">
        <v>622</v>
      </c>
      <c r="H36" s="315">
        <v>150</v>
      </c>
      <c r="I36" s="315"/>
      <c r="J36" s="315"/>
      <c r="K36" s="315"/>
      <c r="L36" s="315"/>
      <c r="M36" s="315"/>
      <c r="N36" s="315"/>
      <c r="O36" s="315"/>
      <c r="P36" s="315">
        <f t="shared" si="4"/>
        <v>0</v>
      </c>
      <c r="Q36" s="315">
        <f t="shared" si="3"/>
        <v>150</v>
      </c>
      <c r="R36" s="34"/>
    </row>
    <row r="37" spans="1:18" ht="35.1" customHeight="1" x14ac:dyDescent="0.25">
      <c r="A37" s="335"/>
      <c r="B37" s="327"/>
      <c r="C37" s="34"/>
      <c r="D37" s="31">
        <v>975</v>
      </c>
      <c r="E37" s="320" t="s">
        <v>349</v>
      </c>
      <c r="F37" s="320" t="s">
        <v>354</v>
      </c>
      <c r="G37" s="325">
        <v>850</v>
      </c>
      <c r="H37" s="315">
        <v>26.5</v>
      </c>
      <c r="I37" s="315">
        <v>121.1</v>
      </c>
      <c r="J37" s="315">
        <v>14.2</v>
      </c>
      <c r="K37" s="315">
        <v>12.5</v>
      </c>
      <c r="L37" s="315">
        <v>136.1</v>
      </c>
      <c r="M37" s="315">
        <v>8.9</v>
      </c>
      <c r="N37" s="315">
        <v>0</v>
      </c>
      <c r="O37" s="315">
        <v>0</v>
      </c>
      <c r="P37" s="315">
        <v>0</v>
      </c>
      <c r="Q37" s="315">
        <f t="shared" si="3"/>
        <v>319.29999999999995</v>
      </c>
      <c r="R37" s="34"/>
    </row>
    <row r="38" spans="1:18" ht="35.1" customHeight="1" x14ac:dyDescent="0.25">
      <c r="A38" s="335"/>
      <c r="B38" s="327"/>
      <c r="C38" s="34"/>
      <c r="D38" s="31" t="s">
        <v>18</v>
      </c>
      <c r="E38" s="325" t="s">
        <v>349</v>
      </c>
      <c r="F38" s="320" t="s">
        <v>382</v>
      </c>
      <c r="G38" s="325">
        <v>110</v>
      </c>
      <c r="H38" s="315">
        <v>671.1</v>
      </c>
      <c r="I38" s="315">
        <v>882.4</v>
      </c>
      <c r="J38" s="315">
        <v>1697.2</v>
      </c>
      <c r="K38" s="315">
        <f>1447.3+437.1</f>
        <v>1884.4</v>
      </c>
      <c r="L38" s="315">
        <v>2298.1</v>
      </c>
      <c r="M38" s="315">
        <v>1906.9</v>
      </c>
      <c r="N38" s="315">
        <v>0</v>
      </c>
      <c r="O38" s="315">
        <v>0</v>
      </c>
      <c r="P38" s="315">
        <v>0</v>
      </c>
      <c r="Q38" s="315">
        <f t="shared" si="3"/>
        <v>9340.1</v>
      </c>
      <c r="R38" s="34"/>
    </row>
    <row r="39" spans="1:18" ht="35.1" customHeight="1" x14ac:dyDescent="0.25">
      <c r="A39" s="335"/>
      <c r="B39" s="327"/>
      <c r="C39" s="34"/>
      <c r="D39" s="31" t="s">
        <v>18</v>
      </c>
      <c r="E39" s="325" t="s">
        <v>349</v>
      </c>
      <c r="F39" s="320" t="s">
        <v>382</v>
      </c>
      <c r="G39" s="325">
        <v>611</v>
      </c>
      <c r="H39" s="315">
        <v>1841.5</v>
      </c>
      <c r="I39" s="315">
        <v>2844</v>
      </c>
      <c r="J39" s="315">
        <v>7162.7</v>
      </c>
      <c r="K39" s="315">
        <v>5652.6</v>
      </c>
      <c r="L39" s="315">
        <v>9203</v>
      </c>
      <c r="M39" s="315">
        <v>14852.2</v>
      </c>
      <c r="N39" s="315">
        <v>5179.3999999999996</v>
      </c>
      <c r="O39" s="315">
        <v>5179.3999999999996</v>
      </c>
      <c r="P39" s="315">
        <f t="shared" si="4"/>
        <v>5179.3999999999996</v>
      </c>
      <c r="Q39" s="315">
        <f t="shared" si="3"/>
        <v>57094.200000000004</v>
      </c>
      <c r="R39" s="34"/>
    </row>
    <row r="40" spans="1:18" ht="35.1" customHeight="1" x14ac:dyDescent="0.25">
      <c r="A40" s="335"/>
      <c r="B40" s="327"/>
      <c r="C40" s="34"/>
      <c r="D40" s="31">
        <v>975</v>
      </c>
      <c r="E40" s="320" t="s">
        <v>349</v>
      </c>
      <c r="F40" s="320" t="s">
        <v>382</v>
      </c>
      <c r="G40" s="325">
        <v>621</v>
      </c>
      <c r="H40" s="315"/>
      <c r="I40" s="315">
        <v>34.200000000000003</v>
      </c>
      <c r="J40" s="315">
        <v>65.400000000000006</v>
      </c>
      <c r="K40" s="315">
        <v>91.9</v>
      </c>
      <c r="L40" s="315">
        <v>172.8</v>
      </c>
      <c r="M40" s="315">
        <v>155.4</v>
      </c>
      <c r="N40" s="315">
        <v>155.4</v>
      </c>
      <c r="O40" s="315">
        <v>155.4</v>
      </c>
      <c r="P40" s="315">
        <f t="shared" si="4"/>
        <v>155.4</v>
      </c>
      <c r="Q40" s="315">
        <f t="shared" si="3"/>
        <v>985.9</v>
      </c>
      <c r="R40" s="34"/>
    </row>
    <row r="41" spans="1:18" ht="35.1" customHeight="1" x14ac:dyDescent="0.25">
      <c r="A41" s="335"/>
      <c r="B41" s="327"/>
      <c r="C41" s="34"/>
      <c r="D41" s="31" t="s">
        <v>18</v>
      </c>
      <c r="E41" s="325" t="s">
        <v>349</v>
      </c>
      <c r="F41" s="320" t="s">
        <v>383</v>
      </c>
      <c r="G41" s="325">
        <v>611</v>
      </c>
      <c r="H41" s="315">
        <v>946.6</v>
      </c>
      <c r="I41" s="315">
        <v>1533.9</v>
      </c>
      <c r="J41" s="315"/>
      <c r="K41" s="315"/>
      <c r="L41" s="315"/>
      <c r="M41" s="315"/>
      <c r="N41" s="315"/>
      <c r="O41" s="315"/>
      <c r="P41" s="315">
        <f t="shared" si="4"/>
        <v>0</v>
      </c>
      <c r="Q41" s="315">
        <f t="shared" si="3"/>
        <v>2480.5</v>
      </c>
      <c r="R41" s="34"/>
    </row>
    <row r="42" spans="1:18" ht="35.1" customHeight="1" x14ac:dyDescent="0.25">
      <c r="A42" s="335"/>
      <c r="B42" s="327"/>
      <c r="C42" s="34"/>
      <c r="D42" s="31" t="s">
        <v>18</v>
      </c>
      <c r="E42" s="325" t="s">
        <v>349</v>
      </c>
      <c r="F42" s="320" t="s">
        <v>384</v>
      </c>
      <c r="G42" s="325">
        <v>110</v>
      </c>
      <c r="H42" s="315">
        <v>17</v>
      </c>
      <c r="I42" s="315"/>
      <c r="J42" s="315"/>
      <c r="K42" s="315"/>
      <c r="L42" s="315"/>
      <c r="M42" s="315"/>
      <c r="N42" s="315"/>
      <c r="O42" s="315"/>
      <c r="P42" s="315">
        <f t="shared" si="4"/>
        <v>0</v>
      </c>
      <c r="Q42" s="315">
        <f t="shared" si="3"/>
        <v>17</v>
      </c>
      <c r="R42" s="34"/>
    </row>
    <row r="43" spans="1:18" ht="35.1" customHeight="1" x14ac:dyDescent="0.25">
      <c r="A43" s="335"/>
      <c r="B43" s="327"/>
      <c r="C43" s="34"/>
      <c r="D43" s="31" t="s">
        <v>18</v>
      </c>
      <c r="E43" s="325" t="s">
        <v>349</v>
      </c>
      <c r="F43" s="320" t="s">
        <v>384</v>
      </c>
      <c r="G43" s="325">
        <v>611</v>
      </c>
      <c r="H43" s="315">
        <v>20.7</v>
      </c>
      <c r="I43" s="315"/>
      <c r="J43" s="315"/>
      <c r="K43" s="315"/>
      <c r="L43" s="315"/>
      <c r="M43" s="315"/>
      <c r="N43" s="315"/>
      <c r="O43" s="315"/>
      <c r="P43" s="315">
        <f t="shared" si="4"/>
        <v>0</v>
      </c>
      <c r="Q43" s="315">
        <f t="shared" si="3"/>
        <v>20.7</v>
      </c>
      <c r="R43" s="34"/>
    </row>
    <row r="44" spans="1:18" ht="35.1" hidden="1" customHeight="1" x14ac:dyDescent="0.25">
      <c r="A44" s="335"/>
      <c r="B44" s="327"/>
      <c r="C44" s="34"/>
      <c r="D44" s="31" t="s">
        <v>18</v>
      </c>
      <c r="E44" s="325" t="s">
        <v>349</v>
      </c>
      <c r="F44" s="320" t="s">
        <v>384</v>
      </c>
      <c r="G44" s="325">
        <v>621</v>
      </c>
      <c r="H44" s="315">
        <v>0</v>
      </c>
      <c r="I44" s="315"/>
      <c r="J44" s="315"/>
      <c r="K44" s="315"/>
      <c r="L44" s="315"/>
      <c r="M44" s="315"/>
      <c r="N44" s="315"/>
      <c r="O44" s="315"/>
      <c r="P44" s="315">
        <f t="shared" si="4"/>
        <v>0</v>
      </c>
      <c r="Q44" s="315">
        <f t="shared" si="3"/>
        <v>0</v>
      </c>
      <c r="R44" s="34"/>
    </row>
    <row r="45" spans="1:18" ht="35.1" hidden="1" customHeight="1" x14ac:dyDescent="0.25">
      <c r="A45" s="335"/>
      <c r="B45" s="327"/>
      <c r="C45" s="34"/>
      <c r="D45" s="31">
        <v>975</v>
      </c>
      <c r="E45" s="320" t="s">
        <v>349</v>
      </c>
      <c r="F45" s="320" t="s">
        <v>385</v>
      </c>
      <c r="G45" s="325">
        <v>611</v>
      </c>
      <c r="H45" s="315"/>
      <c r="I45" s="315"/>
      <c r="J45" s="315">
        <v>0</v>
      </c>
      <c r="K45" s="315"/>
      <c r="L45" s="315"/>
      <c r="M45" s="315"/>
      <c r="N45" s="315"/>
      <c r="O45" s="315"/>
      <c r="P45" s="315">
        <f t="shared" si="4"/>
        <v>0</v>
      </c>
      <c r="Q45" s="315">
        <f t="shared" si="3"/>
        <v>0</v>
      </c>
      <c r="R45" s="34"/>
    </row>
    <row r="46" spans="1:18" ht="35.1" customHeight="1" x14ac:dyDescent="0.25">
      <c r="A46" s="335"/>
      <c r="B46" s="327"/>
      <c r="C46" s="34"/>
      <c r="D46" s="31">
        <v>975</v>
      </c>
      <c r="E46" s="320" t="s">
        <v>349</v>
      </c>
      <c r="F46" s="320" t="s">
        <v>386</v>
      </c>
      <c r="G46" s="325">
        <v>611</v>
      </c>
      <c r="H46" s="315"/>
      <c r="I46" s="315"/>
      <c r="J46" s="315">
        <v>69.8</v>
      </c>
      <c r="K46" s="315"/>
      <c r="L46" s="315"/>
      <c r="M46" s="315"/>
      <c r="N46" s="315"/>
      <c r="O46" s="315"/>
      <c r="P46" s="315">
        <f t="shared" si="4"/>
        <v>0</v>
      </c>
      <c r="Q46" s="315">
        <f t="shared" si="3"/>
        <v>69.8</v>
      </c>
      <c r="R46" s="34"/>
    </row>
    <row r="47" spans="1:18" ht="35.1" customHeight="1" x14ac:dyDescent="0.25">
      <c r="A47" s="335"/>
      <c r="B47" s="327"/>
      <c r="C47" s="34"/>
      <c r="D47" s="31">
        <v>975</v>
      </c>
      <c r="E47" s="320" t="s">
        <v>349</v>
      </c>
      <c r="F47" s="320" t="s">
        <v>387</v>
      </c>
      <c r="G47" s="325">
        <v>611</v>
      </c>
      <c r="H47" s="315">
        <v>50.1</v>
      </c>
      <c r="I47" s="315">
        <v>30</v>
      </c>
      <c r="J47" s="315"/>
      <c r="K47" s="315"/>
      <c r="L47" s="315"/>
      <c r="M47" s="315"/>
      <c r="N47" s="315"/>
      <c r="O47" s="315"/>
      <c r="P47" s="315">
        <f t="shared" si="4"/>
        <v>0</v>
      </c>
      <c r="Q47" s="315">
        <f t="shared" si="3"/>
        <v>80.099999999999994</v>
      </c>
      <c r="R47" s="34"/>
    </row>
    <row r="48" spans="1:18" ht="35.1" customHeight="1" x14ac:dyDescent="0.25">
      <c r="A48" s="335" t="s">
        <v>139</v>
      </c>
      <c r="B48" s="327" t="s">
        <v>388</v>
      </c>
      <c r="C48" s="34"/>
      <c r="D48" s="31">
        <v>975</v>
      </c>
      <c r="E48" s="320" t="s">
        <v>349</v>
      </c>
      <c r="F48" s="320" t="s">
        <v>389</v>
      </c>
      <c r="G48" s="336" t="s">
        <v>390</v>
      </c>
      <c r="H48" s="315">
        <v>2069.1</v>
      </c>
      <c r="I48" s="315">
        <v>2048.5</v>
      </c>
      <c r="J48" s="315">
        <v>2159.8000000000002</v>
      </c>
      <c r="K48" s="315">
        <f>1921.59+580.31</f>
        <v>2501.8999999999996</v>
      </c>
      <c r="L48" s="315">
        <v>2453.9</v>
      </c>
      <c r="M48" s="315">
        <f>1245.3+32</f>
        <v>1277.3</v>
      </c>
      <c r="N48" s="315">
        <v>2338.9</v>
      </c>
      <c r="O48" s="315">
        <v>2338.9</v>
      </c>
      <c r="P48" s="315">
        <f t="shared" si="4"/>
        <v>2338.9</v>
      </c>
      <c r="Q48" s="315">
        <f t="shared" si="3"/>
        <v>19527.2</v>
      </c>
      <c r="R48" s="34"/>
    </row>
    <row r="49" spans="1:18" ht="35.1" customHeight="1" x14ac:dyDescent="0.25">
      <c r="A49" s="335"/>
      <c r="B49" s="327"/>
      <c r="C49" s="34"/>
      <c r="D49" s="31">
        <v>975</v>
      </c>
      <c r="E49" s="320" t="s">
        <v>349</v>
      </c>
      <c r="F49" s="320" t="s">
        <v>389</v>
      </c>
      <c r="G49" s="325">
        <v>244</v>
      </c>
      <c r="H49" s="315">
        <v>48</v>
      </c>
      <c r="I49" s="315">
        <v>49.5</v>
      </c>
      <c r="J49" s="315">
        <v>152</v>
      </c>
      <c r="K49" s="315">
        <v>194.7</v>
      </c>
      <c r="L49" s="315">
        <v>150.69999999999999</v>
      </c>
      <c r="M49" s="315">
        <v>117.6</v>
      </c>
      <c r="N49" s="315">
        <v>184.9</v>
      </c>
      <c r="O49" s="315">
        <v>184.9</v>
      </c>
      <c r="P49" s="315">
        <f t="shared" si="4"/>
        <v>184.9</v>
      </c>
      <c r="Q49" s="315">
        <f t="shared" si="3"/>
        <v>1267.2</v>
      </c>
      <c r="R49" s="34"/>
    </row>
    <row r="50" spans="1:18" ht="35.1" customHeight="1" x14ac:dyDescent="0.25">
      <c r="A50" s="335"/>
      <c r="B50" s="327"/>
      <c r="C50" s="34"/>
      <c r="D50" s="31">
        <v>975</v>
      </c>
      <c r="E50" s="320" t="s">
        <v>349</v>
      </c>
      <c r="F50" s="320" t="s">
        <v>389</v>
      </c>
      <c r="G50" s="325">
        <v>611</v>
      </c>
      <c r="H50" s="315">
        <v>69419.8</v>
      </c>
      <c r="I50" s="315">
        <v>74727.600000000006</v>
      </c>
      <c r="J50" s="315">
        <v>75371.399999999994</v>
      </c>
      <c r="K50" s="315">
        <v>82441.7</v>
      </c>
      <c r="L50" s="315">
        <v>87113.3</v>
      </c>
      <c r="M50" s="315">
        <v>82732.399999999994</v>
      </c>
      <c r="N50" s="315">
        <v>88666.7</v>
      </c>
      <c r="O50" s="315">
        <v>88666.7</v>
      </c>
      <c r="P50" s="315">
        <f t="shared" si="4"/>
        <v>88666.7</v>
      </c>
      <c r="Q50" s="315">
        <f t="shared" si="3"/>
        <v>737806.29999999981</v>
      </c>
      <c r="R50" s="34"/>
    </row>
    <row r="51" spans="1:18" ht="35.1" customHeight="1" x14ac:dyDescent="0.25">
      <c r="A51" s="335"/>
      <c r="B51" s="327"/>
      <c r="C51" s="34"/>
      <c r="D51" s="31">
        <v>975</v>
      </c>
      <c r="E51" s="320" t="s">
        <v>391</v>
      </c>
      <c r="F51" s="320" t="s">
        <v>389</v>
      </c>
      <c r="G51" s="325">
        <v>611</v>
      </c>
      <c r="H51" s="315"/>
      <c r="I51" s="315"/>
      <c r="J51" s="315"/>
      <c r="K51" s="315"/>
      <c r="L51" s="315"/>
      <c r="M51" s="315">
        <v>10565.4</v>
      </c>
      <c r="N51" s="315"/>
      <c r="O51" s="315"/>
      <c r="P51" s="315">
        <f t="shared" si="4"/>
        <v>0</v>
      </c>
      <c r="Q51" s="315">
        <f t="shared" si="3"/>
        <v>10565.4</v>
      </c>
      <c r="R51" s="34"/>
    </row>
    <row r="52" spans="1:18" ht="35.1" customHeight="1" x14ac:dyDescent="0.25">
      <c r="A52" s="335"/>
      <c r="B52" s="327"/>
      <c r="C52" s="34"/>
      <c r="D52" s="31">
        <v>975</v>
      </c>
      <c r="E52" s="320" t="s">
        <v>349</v>
      </c>
      <c r="F52" s="320" t="s">
        <v>389</v>
      </c>
      <c r="G52" s="325">
        <v>612</v>
      </c>
      <c r="H52" s="315">
        <v>1060.3</v>
      </c>
      <c r="I52" s="315">
        <v>685.7</v>
      </c>
      <c r="J52" s="315">
        <v>3330.5</v>
      </c>
      <c r="K52" s="315">
        <v>4576</v>
      </c>
      <c r="L52" s="315">
        <v>4798.1000000000004</v>
      </c>
      <c r="M52" s="315">
        <v>4598.3999999999996</v>
      </c>
      <c r="N52" s="315">
        <v>3742</v>
      </c>
      <c r="O52" s="315">
        <v>3742</v>
      </c>
      <c r="P52" s="315">
        <f t="shared" si="4"/>
        <v>3742</v>
      </c>
      <c r="Q52" s="315">
        <f t="shared" si="3"/>
        <v>30275</v>
      </c>
      <c r="R52" s="34"/>
    </row>
    <row r="53" spans="1:18" ht="35.1" customHeight="1" x14ac:dyDescent="0.25">
      <c r="A53" s="335"/>
      <c r="B53" s="327"/>
      <c r="C53" s="34"/>
      <c r="D53" s="31">
        <v>975</v>
      </c>
      <c r="E53" s="320" t="s">
        <v>349</v>
      </c>
      <c r="F53" s="320" t="s">
        <v>389</v>
      </c>
      <c r="G53" s="325">
        <v>621</v>
      </c>
      <c r="H53" s="315">
        <v>28912.7</v>
      </c>
      <c r="I53" s="315">
        <v>29234.2</v>
      </c>
      <c r="J53" s="315">
        <v>29412</v>
      </c>
      <c r="K53" s="315">
        <v>31346.1</v>
      </c>
      <c r="L53" s="315">
        <v>32415.7</v>
      </c>
      <c r="M53" s="315">
        <v>28945.3</v>
      </c>
      <c r="N53" s="315">
        <v>32209.7</v>
      </c>
      <c r="O53" s="315">
        <v>32209.7</v>
      </c>
      <c r="P53" s="315">
        <f t="shared" si="4"/>
        <v>32209.7</v>
      </c>
      <c r="Q53" s="315">
        <f t="shared" si="3"/>
        <v>276895.10000000003</v>
      </c>
      <c r="R53" s="34"/>
    </row>
    <row r="54" spans="1:18" ht="35.1" customHeight="1" x14ac:dyDescent="0.25">
      <c r="A54" s="335"/>
      <c r="B54" s="327"/>
      <c r="C54" s="34"/>
      <c r="D54" s="31">
        <v>975</v>
      </c>
      <c r="E54" s="320" t="s">
        <v>391</v>
      </c>
      <c r="F54" s="320" t="s">
        <v>389</v>
      </c>
      <c r="G54" s="325">
        <v>621</v>
      </c>
      <c r="H54" s="315"/>
      <c r="I54" s="315"/>
      <c r="J54" s="315"/>
      <c r="K54" s="315"/>
      <c r="L54" s="315"/>
      <c r="M54" s="315">
        <v>4913.8</v>
      </c>
      <c r="N54" s="315"/>
      <c r="O54" s="315"/>
      <c r="P54" s="315">
        <f t="shared" si="4"/>
        <v>0</v>
      </c>
      <c r="Q54" s="315">
        <f t="shared" si="3"/>
        <v>4913.8</v>
      </c>
      <c r="R54" s="34"/>
    </row>
    <row r="55" spans="1:18" ht="35.1" customHeight="1" x14ac:dyDescent="0.25">
      <c r="A55" s="335"/>
      <c r="B55" s="327"/>
      <c r="C55" s="34"/>
      <c r="D55" s="31">
        <v>975</v>
      </c>
      <c r="E55" s="320" t="s">
        <v>349</v>
      </c>
      <c r="F55" s="320" t="s">
        <v>389</v>
      </c>
      <c r="G55" s="325">
        <v>622</v>
      </c>
      <c r="H55" s="315">
        <v>348.3</v>
      </c>
      <c r="I55" s="315">
        <v>360.9</v>
      </c>
      <c r="J55" s="315">
        <v>1248.9000000000001</v>
      </c>
      <c r="K55" s="315">
        <v>1661.6</v>
      </c>
      <c r="L55" s="315">
        <v>1917.9</v>
      </c>
      <c r="M55" s="315">
        <v>1604.6</v>
      </c>
      <c r="N55" s="315">
        <v>1318.9</v>
      </c>
      <c r="O55" s="315">
        <v>1318.9</v>
      </c>
      <c r="P55" s="315">
        <f t="shared" si="4"/>
        <v>1318.9</v>
      </c>
      <c r="Q55" s="315">
        <f t="shared" si="3"/>
        <v>11098.9</v>
      </c>
      <c r="R55" s="34"/>
    </row>
    <row r="56" spans="1:18" ht="35.1" customHeight="1" x14ac:dyDescent="0.25">
      <c r="A56" s="335"/>
      <c r="B56" s="327"/>
      <c r="C56" s="34"/>
      <c r="D56" s="31">
        <v>975</v>
      </c>
      <c r="E56" s="320" t="s">
        <v>349</v>
      </c>
      <c r="F56" s="320" t="s">
        <v>389</v>
      </c>
      <c r="G56" s="325">
        <v>870</v>
      </c>
      <c r="H56" s="315"/>
      <c r="I56" s="315"/>
      <c r="J56" s="315"/>
      <c r="K56" s="315">
        <v>1355.7</v>
      </c>
      <c r="L56" s="315"/>
      <c r="M56" s="315"/>
      <c r="N56" s="315"/>
      <c r="O56" s="315"/>
      <c r="P56" s="315">
        <f t="shared" si="4"/>
        <v>0</v>
      </c>
      <c r="Q56" s="315">
        <f t="shared" si="3"/>
        <v>1355.7</v>
      </c>
      <c r="R56" s="34"/>
    </row>
    <row r="57" spans="1:18" ht="35.1" customHeight="1" x14ac:dyDescent="0.25">
      <c r="A57" s="335"/>
      <c r="B57" s="327"/>
      <c r="C57" s="34"/>
      <c r="D57" s="31">
        <v>975</v>
      </c>
      <c r="E57" s="320" t="s">
        <v>349</v>
      </c>
      <c r="F57" s="320" t="s">
        <v>392</v>
      </c>
      <c r="G57" s="325">
        <v>110</v>
      </c>
      <c r="H57" s="315">
        <v>19.7</v>
      </c>
      <c r="I57" s="315"/>
      <c r="J57" s="315"/>
      <c r="K57" s="315"/>
      <c r="L57" s="315"/>
      <c r="M57" s="315"/>
      <c r="N57" s="315"/>
      <c r="O57" s="315"/>
      <c r="P57" s="315">
        <f t="shared" si="4"/>
        <v>0</v>
      </c>
      <c r="Q57" s="315">
        <f t="shared" si="3"/>
        <v>19.7</v>
      </c>
      <c r="R57" s="34"/>
    </row>
    <row r="58" spans="1:18" ht="35.1" customHeight="1" x14ac:dyDescent="0.25">
      <c r="A58" s="335"/>
      <c r="B58" s="327"/>
      <c r="C58" s="34"/>
      <c r="D58" s="31">
        <v>975</v>
      </c>
      <c r="E58" s="320" t="s">
        <v>349</v>
      </c>
      <c r="F58" s="320" t="s">
        <v>393</v>
      </c>
      <c r="G58" s="325">
        <v>110</v>
      </c>
      <c r="H58" s="315"/>
      <c r="I58" s="315"/>
      <c r="J58" s="315">
        <v>911.7</v>
      </c>
      <c r="K58" s="315">
        <v>908.9</v>
      </c>
      <c r="L58" s="315">
        <f>724.5+218.8</f>
        <v>943.3</v>
      </c>
      <c r="M58" s="315">
        <v>456.8</v>
      </c>
      <c r="N58" s="315">
        <v>774.9</v>
      </c>
      <c r="O58" s="315">
        <v>774.9</v>
      </c>
      <c r="P58" s="315">
        <f t="shared" si="4"/>
        <v>774.9</v>
      </c>
      <c r="Q58" s="315">
        <f t="shared" si="3"/>
        <v>5545.4</v>
      </c>
      <c r="R58" s="34"/>
    </row>
    <row r="59" spans="1:18" ht="35.1" customHeight="1" x14ac:dyDescent="0.25">
      <c r="A59" s="335"/>
      <c r="B59" s="327"/>
      <c r="C59" s="34"/>
      <c r="D59" s="31">
        <v>975</v>
      </c>
      <c r="E59" s="320" t="s">
        <v>349</v>
      </c>
      <c r="F59" s="320" t="s">
        <v>393</v>
      </c>
      <c r="G59" s="325">
        <v>240</v>
      </c>
      <c r="H59" s="315"/>
      <c r="I59" s="315"/>
      <c r="J59" s="315">
        <v>17.5</v>
      </c>
      <c r="K59" s="315">
        <v>20.2</v>
      </c>
      <c r="L59" s="315">
        <v>20.2</v>
      </c>
      <c r="M59" s="315">
        <v>13.9</v>
      </c>
      <c r="N59" s="315">
        <v>20.3</v>
      </c>
      <c r="O59" s="315">
        <v>20.3</v>
      </c>
      <c r="P59" s="315">
        <f t="shared" si="4"/>
        <v>20.3</v>
      </c>
      <c r="Q59" s="315">
        <f t="shared" si="3"/>
        <v>132.70000000000002</v>
      </c>
      <c r="R59" s="34"/>
    </row>
    <row r="60" spans="1:18" ht="35.1" customHeight="1" x14ac:dyDescent="0.25">
      <c r="A60" s="335"/>
      <c r="B60" s="327"/>
      <c r="C60" s="34"/>
      <c r="D60" s="31">
        <v>975</v>
      </c>
      <c r="E60" s="320" t="s">
        <v>349</v>
      </c>
      <c r="F60" s="320" t="s">
        <v>393</v>
      </c>
      <c r="G60" s="325">
        <v>611</v>
      </c>
      <c r="H60" s="315"/>
      <c r="I60" s="315"/>
      <c r="J60" s="315">
        <v>19514.400000000001</v>
      </c>
      <c r="K60" s="315">
        <v>19413.400000000001</v>
      </c>
      <c r="L60" s="315">
        <v>20229.8</v>
      </c>
      <c r="M60" s="315">
        <v>22664.400000000001</v>
      </c>
      <c r="N60" s="315">
        <v>21852.5</v>
      </c>
      <c r="O60" s="315">
        <v>21852.5</v>
      </c>
      <c r="P60" s="315">
        <f t="shared" si="4"/>
        <v>21852.5</v>
      </c>
      <c r="Q60" s="315">
        <f t="shared" si="3"/>
        <v>147379.5</v>
      </c>
      <c r="R60" s="34"/>
    </row>
    <row r="61" spans="1:18" ht="35.1" customHeight="1" x14ac:dyDescent="0.25">
      <c r="A61" s="335"/>
      <c r="B61" s="327"/>
      <c r="C61" s="34"/>
      <c r="D61" s="31">
        <v>975</v>
      </c>
      <c r="E61" s="320" t="s">
        <v>349</v>
      </c>
      <c r="F61" s="320" t="s">
        <v>393</v>
      </c>
      <c r="G61" s="325">
        <v>612</v>
      </c>
      <c r="H61" s="315"/>
      <c r="I61" s="315"/>
      <c r="J61" s="315"/>
      <c r="K61" s="315">
        <v>119</v>
      </c>
      <c r="L61" s="315">
        <v>113</v>
      </c>
      <c r="M61" s="315">
        <v>118</v>
      </c>
      <c r="N61" s="315">
        <v>118</v>
      </c>
      <c r="O61" s="315">
        <v>118</v>
      </c>
      <c r="P61" s="315">
        <f t="shared" si="4"/>
        <v>118</v>
      </c>
      <c r="Q61" s="315">
        <f t="shared" si="3"/>
        <v>704</v>
      </c>
      <c r="R61" s="34"/>
    </row>
    <row r="62" spans="1:18" ht="35.1" customHeight="1" x14ac:dyDescent="0.25">
      <c r="A62" s="335"/>
      <c r="B62" s="327"/>
      <c r="C62" s="34"/>
      <c r="D62" s="31">
        <v>975</v>
      </c>
      <c r="E62" s="320" t="s">
        <v>349</v>
      </c>
      <c r="F62" s="320" t="s">
        <v>393</v>
      </c>
      <c r="G62" s="325">
        <v>621</v>
      </c>
      <c r="H62" s="315"/>
      <c r="I62" s="315"/>
      <c r="J62" s="315">
        <v>9019.2000000000007</v>
      </c>
      <c r="K62" s="315">
        <v>9035.1</v>
      </c>
      <c r="L62" s="315">
        <v>9369.2999999999993</v>
      </c>
      <c r="M62" s="315">
        <f>7901+147.7</f>
        <v>8048.7</v>
      </c>
      <c r="N62" s="315">
        <v>7819.4</v>
      </c>
      <c r="O62" s="315">
        <v>7819.4</v>
      </c>
      <c r="P62" s="315">
        <f t="shared" si="4"/>
        <v>7819.4</v>
      </c>
      <c r="Q62" s="315">
        <f t="shared" si="3"/>
        <v>58930.500000000007</v>
      </c>
      <c r="R62" s="34"/>
    </row>
    <row r="63" spans="1:18" ht="52.15" customHeight="1" x14ac:dyDescent="0.25">
      <c r="A63" s="335"/>
      <c r="B63" s="327"/>
      <c r="C63" s="34"/>
      <c r="D63" s="31">
        <v>975</v>
      </c>
      <c r="E63" s="320" t="s">
        <v>349</v>
      </c>
      <c r="F63" s="320" t="s">
        <v>394</v>
      </c>
      <c r="G63" s="325">
        <v>621</v>
      </c>
      <c r="H63" s="315"/>
      <c r="I63" s="315"/>
      <c r="J63" s="315"/>
      <c r="K63" s="315"/>
      <c r="L63" s="315">
        <v>162.80000000000001</v>
      </c>
      <c r="M63" s="315">
        <v>48.8</v>
      </c>
      <c r="N63" s="315"/>
      <c r="O63" s="315"/>
      <c r="P63" s="315">
        <f t="shared" si="4"/>
        <v>0</v>
      </c>
      <c r="Q63" s="315">
        <f t="shared" si="3"/>
        <v>211.60000000000002</v>
      </c>
      <c r="R63" s="34"/>
    </row>
    <row r="64" spans="1:18" ht="35.1" customHeight="1" x14ac:dyDescent="0.25">
      <c r="A64" s="335"/>
      <c r="B64" s="327"/>
      <c r="C64" s="34"/>
      <c r="D64" s="31">
        <v>975</v>
      </c>
      <c r="E64" s="320" t="s">
        <v>349</v>
      </c>
      <c r="F64" s="320" t="s">
        <v>395</v>
      </c>
      <c r="G64" s="325">
        <v>611</v>
      </c>
      <c r="H64" s="315"/>
      <c r="I64" s="315"/>
      <c r="J64" s="315"/>
      <c r="K64" s="315"/>
      <c r="L64" s="315">
        <v>329.3</v>
      </c>
      <c r="M64" s="315">
        <v>15</v>
      </c>
      <c r="N64" s="315"/>
      <c r="O64" s="315"/>
      <c r="P64" s="315">
        <f t="shared" si="4"/>
        <v>0</v>
      </c>
      <c r="Q64" s="315">
        <f t="shared" si="3"/>
        <v>344.3</v>
      </c>
      <c r="R64" s="34"/>
    </row>
    <row r="65" spans="1:21" ht="35.1" customHeight="1" x14ac:dyDescent="0.25">
      <c r="A65" s="335"/>
      <c r="B65" s="327"/>
      <c r="C65" s="34"/>
      <c r="D65" s="31">
        <v>975</v>
      </c>
      <c r="E65" s="320" t="s">
        <v>349</v>
      </c>
      <c r="F65" s="320" t="s">
        <v>396</v>
      </c>
      <c r="G65" s="325">
        <v>611</v>
      </c>
      <c r="H65" s="315"/>
      <c r="I65" s="315"/>
      <c r="J65" s="315"/>
      <c r="K65" s="315"/>
      <c r="L65" s="315"/>
      <c r="M65" s="315">
        <v>116.5</v>
      </c>
      <c r="N65" s="315"/>
      <c r="O65" s="315"/>
      <c r="P65" s="315"/>
      <c r="Q65" s="315"/>
      <c r="R65" s="34"/>
    </row>
    <row r="66" spans="1:21" ht="35.1" customHeight="1" x14ac:dyDescent="0.25">
      <c r="A66" s="335"/>
      <c r="B66" s="327"/>
      <c r="C66" s="34"/>
      <c r="D66" s="31">
        <v>975</v>
      </c>
      <c r="E66" s="320" t="s">
        <v>349</v>
      </c>
      <c r="F66" s="320" t="s">
        <v>396</v>
      </c>
      <c r="G66" s="325">
        <v>621</v>
      </c>
      <c r="H66" s="315"/>
      <c r="I66" s="315"/>
      <c r="J66" s="315"/>
      <c r="K66" s="315"/>
      <c r="L66" s="315"/>
      <c r="M66" s="315">
        <v>3.6</v>
      </c>
      <c r="N66" s="315"/>
      <c r="O66" s="315"/>
      <c r="P66" s="315"/>
      <c r="Q66" s="315"/>
      <c r="R66" s="34"/>
    </row>
    <row r="67" spans="1:21" ht="35.1" customHeight="1" x14ac:dyDescent="0.25">
      <c r="A67" s="335"/>
      <c r="B67" s="327"/>
      <c r="C67" s="34"/>
      <c r="D67" s="31">
        <v>975</v>
      </c>
      <c r="E67" s="320" t="s">
        <v>349</v>
      </c>
      <c r="F67" s="320" t="s">
        <v>397</v>
      </c>
      <c r="G67" s="325">
        <v>110</v>
      </c>
      <c r="H67" s="315"/>
      <c r="I67" s="315"/>
      <c r="J67" s="315"/>
      <c r="K67" s="315"/>
      <c r="L67" s="315">
        <v>460.4</v>
      </c>
      <c r="M67" s="315"/>
      <c r="N67" s="315"/>
      <c r="O67" s="315"/>
      <c r="P67" s="315">
        <f t="shared" si="4"/>
        <v>0</v>
      </c>
      <c r="Q67" s="315">
        <f t="shared" si="3"/>
        <v>460.4</v>
      </c>
      <c r="R67" s="34"/>
    </row>
    <row r="68" spans="1:21" ht="35.1" customHeight="1" x14ac:dyDescent="0.25">
      <c r="A68" s="335"/>
      <c r="B68" s="327"/>
      <c r="C68" s="34"/>
      <c r="D68" s="31">
        <v>975</v>
      </c>
      <c r="E68" s="320" t="s">
        <v>349</v>
      </c>
      <c r="F68" s="320" t="s">
        <v>393</v>
      </c>
      <c r="G68" s="325">
        <v>870</v>
      </c>
      <c r="H68" s="315"/>
      <c r="I68" s="315"/>
      <c r="J68" s="315"/>
      <c r="K68" s="315"/>
      <c r="L68" s="315"/>
      <c r="M68" s="315"/>
      <c r="N68" s="315"/>
      <c r="O68" s="315"/>
      <c r="P68" s="315">
        <f t="shared" si="4"/>
        <v>0</v>
      </c>
      <c r="Q68" s="315">
        <f t="shared" si="3"/>
        <v>0</v>
      </c>
      <c r="R68" s="34"/>
    </row>
    <row r="69" spans="1:21" ht="35.1" customHeight="1" x14ac:dyDescent="0.25">
      <c r="A69" s="335"/>
      <c r="B69" s="327"/>
      <c r="C69" s="34"/>
      <c r="D69" s="31">
        <v>975</v>
      </c>
      <c r="E69" s="320" t="s">
        <v>349</v>
      </c>
      <c r="F69" s="320" t="s">
        <v>392</v>
      </c>
      <c r="G69" s="325">
        <v>611</v>
      </c>
      <c r="H69" s="315">
        <v>77</v>
      </c>
      <c r="I69" s="315"/>
      <c r="J69" s="315"/>
      <c r="K69" s="315"/>
      <c r="L69" s="315"/>
      <c r="M69" s="315"/>
      <c r="N69" s="315"/>
      <c r="O69" s="315"/>
      <c r="P69" s="315">
        <f t="shared" si="4"/>
        <v>0</v>
      </c>
      <c r="Q69" s="315">
        <f t="shared" si="3"/>
        <v>77</v>
      </c>
      <c r="R69" s="34"/>
    </row>
    <row r="70" spans="1:21" ht="69.75" customHeight="1" x14ac:dyDescent="0.25">
      <c r="A70" s="337" t="s">
        <v>141</v>
      </c>
      <c r="B70" s="329" t="s">
        <v>398</v>
      </c>
      <c r="C70" s="31" t="s">
        <v>17</v>
      </c>
      <c r="D70" s="320" t="s">
        <v>18</v>
      </c>
      <c r="E70" s="320" t="s">
        <v>349</v>
      </c>
      <c r="F70" s="31" t="s">
        <v>15</v>
      </c>
      <c r="G70" s="31" t="s">
        <v>15</v>
      </c>
      <c r="H70" s="73">
        <v>777.6</v>
      </c>
      <c r="I70" s="73">
        <v>532.1</v>
      </c>
      <c r="J70" s="73">
        <v>1013.8</v>
      </c>
      <c r="K70" s="73">
        <v>1013.8</v>
      </c>
      <c r="L70" s="73">
        <f>201+878</f>
        <v>1079</v>
      </c>
      <c r="M70" s="73">
        <v>1500.5</v>
      </c>
      <c r="N70" s="73">
        <v>1500.5</v>
      </c>
      <c r="O70" s="73">
        <v>1500.5</v>
      </c>
      <c r="P70" s="315">
        <f t="shared" si="4"/>
        <v>1500.5</v>
      </c>
      <c r="Q70" s="315">
        <f t="shared" si="3"/>
        <v>10418.299999999999</v>
      </c>
      <c r="R70" s="34"/>
    </row>
    <row r="71" spans="1:21" ht="75" hidden="1" customHeight="1" x14ac:dyDescent="0.25">
      <c r="A71" s="338" t="s">
        <v>139</v>
      </c>
      <c r="B71" s="339" t="s">
        <v>399</v>
      </c>
      <c r="C71" s="339" t="s">
        <v>17</v>
      </c>
      <c r="D71" s="340" t="s">
        <v>18</v>
      </c>
      <c r="E71" s="340" t="s">
        <v>349</v>
      </c>
      <c r="F71" s="340" t="s">
        <v>15</v>
      </c>
      <c r="G71" s="339" t="s">
        <v>15</v>
      </c>
      <c r="H71" s="341">
        <v>0</v>
      </c>
      <c r="I71" s="341">
        <v>0</v>
      </c>
      <c r="J71" s="341">
        <v>0</v>
      </c>
      <c r="K71" s="341"/>
      <c r="L71" s="341"/>
      <c r="M71" s="341"/>
      <c r="N71" s="341"/>
      <c r="O71" s="341"/>
      <c r="P71" s="315">
        <f t="shared" si="4"/>
        <v>0</v>
      </c>
      <c r="Q71" s="315">
        <f t="shared" si="3"/>
        <v>0</v>
      </c>
      <c r="R71" s="31" t="s">
        <v>400</v>
      </c>
      <c r="S71" s="54">
        <v>2</v>
      </c>
    </row>
    <row r="72" spans="1:21" ht="134.25" hidden="1" customHeight="1" x14ac:dyDescent="0.25">
      <c r="A72" s="338" t="s">
        <v>141</v>
      </c>
      <c r="B72" s="329" t="s">
        <v>401</v>
      </c>
      <c r="C72" s="31" t="s">
        <v>17</v>
      </c>
      <c r="D72" s="338" t="s">
        <v>18</v>
      </c>
      <c r="E72" s="338" t="s">
        <v>402</v>
      </c>
      <c r="F72" s="338" t="s">
        <v>15</v>
      </c>
      <c r="G72" s="31" t="s">
        <v>15</v>
      </c>
      <c r="H72" s="73">
        <v>0</v>
      </c>
      <c r="I72" s="73">
        <v>0</v>
      </c>
      <c r="J72" s="73">
        <v>0</v>
      </c>
      <c r="K72" s="73"/>
      <c r="L72" s="73"/>
      <c r="M72" s="73"/>
      <c r="N72" s="73"/>
      <c r="O72" s="73"/>
      <c r="P72" s="315">
        <f t="shared" si="4"/>
        <v>0</v>
      </c>
      <c r="Q72" s="315">
        <f t="shared" si="3"/>
        <v>0</v>
      </c>
      <c r="R72" s="31" t="s">
        <v>403</v>
      </c>
    </row>
    <row r="73" spans="1:21" ht="72.75" hidden="1" customHeight="1" x14ac:dyDescent="0.25">
      <c r="A73" s="338" t="s">
        <v>143</v>
      </c>
      <c r="B73" s="31" t="s">
        <v>404</v>
      </c>
      <c r="C73" s="31" t="s">
        <v>17</v>
      </c>
      <c r="D73" s="338" t="s">
        <v>18</v>
      </c>
      <c r="E73" s="338" t="s">
        <v>402</v>
      </c>
      <c r="F73" s="338" t="s">
        <v>15</v>
      </c>
      <c r="G73" s="31" t="s">
        <v>15</v>
      </c>
      <c r="H73" s="73">
        <v>0</v>
      </c>
      <c r="I73" s="73">
        <v>0</v>
      </c>
      <c r="J73" s="73">
        <v>0</v>
      </c>
      <c r="K73" s="341"/>
      <c r="L73" s="341"/>
      <c r="M73" s="341"/>
      <c r="N73" s="341"/>
      <c r="O73" s="341"/>
      <c r="P73" s="315">
        <f t="shared" si="4"/>
        <v>0</v>
      </c>
      <c r="Q73" s="315">
        <f t="shared" si="3"/>
        <v>0</v>
      </c>
      <c r="R73" s="342" t="s">
        <v>405</v>
      </c>
    </row>
    <row r="74" spans="1:21" ht="78" hidden="1" customHeight="1" x14ac:dyDescent="0.25">
      <c r="A74" s="343"/>
      <c r="B74" s="31" t="s">
        <v>406</v>
      </c>
      <c r="C74" s="31" t="s">
        <v>17</v>
      </c>
      <c r="D74" s="338"/>
      <c r="E74" s="338"/>
      <c r="F74" s="338"/>
      <c r="G74" s="31" t="s">
        <v>15</v>
      </c>
      <c r="H74" s="315"/>
      <c r="I74" s="315"/>
      <c r="J74" s="73"/>
      <c r="K74" s="73"/>
      <c r="L74" s="73"/>
      <c r="M74" s="73"/>
      <c r="N74" s="73"/>
      <c r="O74" s="73"/>
      <c r="P74" s="315">
        <f t="shared" si="4"/>
        <v>0</v>
      </c>
      <c r="Q74" s="315">
        <f t="shared" si="3"/>
        <v>0</v>
      </c>
      <c r="R74" s="31" t="s">
        <v>407</v>
      </c>
      <c r="S74" s="344" t="s">
        <v>408</v>
      </c>
      <c r="T74" s="345" t="s">
        <v>409</v>
      </c>
      <c r="U74" s="346" t="s">
        <v>410</v>
      </c>
    </row>
    <row r="75" spans="1:21" ht="86.25" hidden="1" customHeight="1" x14ac:dyDescent="0.25">
      <c r="A75" s="343" t="s">
        <v>145</v>
      </c>
      <c r="B75" s="31" t="s">
        <v>411</v>
      </c>
      <c r="C75" s="31" t="s">
        <v>412</v>
      </c>
      <c r="D75" s="338" t="s">
        <v>18</v>
      </c>
      <c r="E75" s="338" t="s">
        <v>349</v>
      </c>
      <c r="F75" s="338" t="s">
        <v>413</v>
      </c>
      <c r="G75" s="31">
        <v>244</v>
      </c>
      <c r="H75" s="315"/>
      <c r="I75" s="315"/>
      <c r="J75" s="73"/>
      <c r="K75" s="73"/>
      <c r="L75" s="73"/>
      <c r="M75" s="73"/>
      <c r="N75" s="73"/>
      <c r="O75" s="73"/>
      <c r="P75" s="315">
        <f t="shared" si="4"/>
        <v>0</v>
      </c>
      <c r="Q75" s="315">
        <f t="shared" si="3"/>
        <v>0</v>
      </c>
      <c r="R75" s="31" t="s">
        <v>414</v>
      </c>
      <c r="S75" s="347"/>
      <c r="T75" s="345"/>
      <c r="U75" s="346"/>
    </row>
    <row r="76" spans="1:21" ht="70.5" hidden="1" customHeight="1" x14ac:dyDescent="0.25">
      <c r="A76" s="343" t="s">
        <v>147</v>
      </c>
      <c r="B76" s="31" t="s">
        <v>415</v>
      </c>
      <c r="C76" s="31" t="s">
        <v>412</v>
      </c>
      <c r="D76" s="338" t="s">
        <v>18</v>
      </c>
      <c r="E76" s="338" t="s">
        <v>349</v>
      </c>
      <c r="F76" s="338" t="s">
        <v>15</v>
      </c>
      <c r="G76" s="31" t="s">
        <v>15</v>
      </c>
      <c r="H76" s="315">
        <v>0</v>
      </c>
      <c r="I76" s="315">
        <v>0</v>
      </c>
      <c r="J76" s="315">
        <v>0</v>
      </c>
      <c r="K76" s="315"/>
      <c r="L76" s="315"/>
      <c r="M76" s="315"/>
      <c r="N76" s="315"/>
      <c r="O76" s="315"/>
      <c r="P76" s="315">
        <f t="shared" si="4"/>
        <v>0</v>
      </c>
      <c r="Q76" s="315">
        <f t="shared" si="3"/>
        <v>0</v>
      </c>
      <c r="R76" s="31" t="s">
        <v>416</v>
      </c>
      <c r="S76" s="347"/>
      <c r="T76" s="345"/>
      <c r="U76" s="346"/>
    </row>
    <row r="77" spans="1:21" ht="21" customHeight="1" x14ac:dyDescent="0.25">
      <c r="A77" s="348" t="s">
        <v>417</v>
      </c>
      <c r="B77" s="348"/>
      <c r="C77" s="349"/>
      <c r="D77" s="349"/>
      <c r="E77" s="349"/>
      <c r="F77" s="349"/>
      <c r="G77" s="349"/>
      <c r="H77" s="73">
        <f t="shared" ref="H77:O77" si="5">SUM(H31:H76)</f>
        <v>179920.50000000003</v>
      </c>
      <c r="I77" s="73">
        <f t="shared" si="5"/>
        <v>191066.30000000002</v>
      </c>
      <c r="J77" s="73">
        <f t="shared" si="5"/>
        <v>202246.1</v>
      </c>
      <c r="K77" s="73">
        <f t="shared" si="5"/>
        <v>210858.7</v>
      </c>
      <c r="L77" s="73">
        <f t="shared" si="5"/>
        <v>222793.49999999997</v>
      </c>
      <c r="M77" s="73">
        <f>SUM(M31:M76)</f>
        <v>225911.69999999995</v>
      </c>
      <c r="N77" s="73">
        <f t="shared" si="5"/>
        <v>193621.09999999998</v>
      </c>
      <c r="O77" s="73">
        <f t="shared" si="5"/>
        <v>193621.09999999998</v>
      </c>
      <c r="P77" s="315">
        <f t="shared" si="4"/>
        <v>193621.09999999998</v>
      </c>
      <c r="Q77" s="315">
        <f t="shared" si="3"/>
        <v>1813660.1</v>
      </c>
      <c r="R77" s="334"/>
    </row>
    <row r="78" spans="1:21" ht="27.75" customHeight="1" x14ac:dyDescent="0.25">
      <c r="A78" s="350" t="s">
        <v>339</v>
      </c>
      <c r="B78" s="350"/>
      <c r="C78" s="350"/>
      <c r="D78" s="350"/>
      <c r="E78" s="350"/>
      <c r="F78" s="350"/>
      <c r="G78" s="350"/>
      <c r="H78" s="351"/>
      <c r="I78" s="351"/>
      <c r="J78" s="351"/>
      <c r="K78" s="351"/>
      <c r="L78" s="351"/>
      <c r="M78" s="351"/>
      <c r="N78" s="351"/>
      <c r="O78" s="351"/>
      <c r="P78" s="351"/>
      <c r="Q78" s="351"/>
      <c r="R78" s="350"/>
    </row>
    <row r="79" spans="1:21" ht="35.1" customHeight="1" x14ac:dyDescent="0.25">
      <c r="A79" s="352" t="s">
        <v>418</v>
      </c>
      <c r="B79" s="327" t="s">
        <v>419</v>
      </c>
      <c r="C79" s="51" t="s">
        <v>17</v>
      </c>
      <c r="D79" s="338" t="s">
        <v>18</v>
      </c>
      <c r="E79" s="338" t="s">
        <v>391</v>
      </c>
      <c r="F79" s="353" t="s">
        <v>420</v>
      </c>
      <c r="G79" s="350">
        <v>611</v>
      </c>
      <c r="H79" s="73">
        <v>23037.9</v>
      </c>
      <c r="I79" s="73">
        <v>23911.599999999999</v>
      </c>
      <c r="J79" s="73">
        <v>22936.7</v>
      </c>
      <c r="K79" s="73">
        <v>22825.4</v>
      </c>
      <c r="L79" s="73">
        <v>23271.9</v>
      </c>
      <c r="M79" s="73">
        <v>24149.7</v>
      </c>
      <c r="N79" s="73">
        <v>23042.400000000001</v>
      </c>
      <c r="O79" s="73">
        <v>23042.400000000001</v>
      </c>
      <c r="P79" s="73">
        <f>O79</f>
        <v>23042.400000000001</v>
      </c>
      <c r="Q79" s="315">
        <f>SUM(H79:P79)</f>
        <v>209260.4</v>
      </c>
      <c r="R79" s="34" t="s">
        <v>421</v>
      </c>
    </row>
    <row r="80" spans="1:21" ht="35.1" customHeight="1" x14ac:dyDescent="0.25">
      <c r="A80" s="352"/>
      <c r="B80" s="327"/>
      <c r="C80" s="51"/>
      <c r="D80" s="338" t="s">
        <v>18</v>
      </c>
      <c r="E80" s="338" t="s">
        <v>391</v>
      </c>
      <c r="F80" s="353" t="s">
        <v>420</v>
      </c>
      <c r="G80" s="350">
        <v>612</v>
      </c>
      <c r="H80" s="73">
        <v>228.9</v>
      </c>
      <c r="I80" s="73">
        <v>1514.5</v>
      </c>
      <c r="J80" s="73">
        <f>13390.2-J91-J94</f>
        <v>13254.2</v>
      </c>
      <c r="K80" s="73">
        <v>6851.9</v>
      </c>
      <c r="L80" s="73">
        <v>120</v>
      </c>
      <c r="M80" s="73">
        <v>14.5</v>
      </c>
      <c r="N80" s="73"/>
      <c r="O80" s="73"/>
      <c r="P80" s="73">
        <f t="shared" ref="P80:P104" si="6">O80</f>
        <v>0</v>
      </c>
      <c r="Q80" s="315">
        <f t="shared" ref="Q80:Q104" si="7">SUM(H80:P80)</f>
        <v>21984</v>
      </c>
      <c r="R80" s="34"/>
    </row>
    <row r="81" spans="1:18" ht="35.1" customHeight="1" x14ac:dyDescent="0.25">
      <c r="A81" s="352"/>
      <c r="B81" s="327"/>
      <c r="C81" s="51"/>
      <c r="D81" s="338" t="s">
        <v>18</v>
      </c>
      <c r="E81" s="338" t="s">
        <v>391</v>
      </c>
      <c r="F81" s="353" t="s">
        <v>382</v>
      </c>
      <c r="G81" s="350">
        <v>611</v>
      </c>
      <c r="H81" s="73"/>
      <c r="I81" s="73"/>
      <c r="J81" s="73"/>
      <c r="K81" s="73">
        <v>2950.8</v>
      </c>
      <c r="L81" s="73">
        <v>3915.8</v>
      </c>
      <c r="M81" s="73">
        <v>6010.2</v>
      </c>
      <c r="N81" s="73">
        <v>2305.8000000000002</v>
      </c>
      <c r="O81" s="73">
        <v>2305.8000000000002</v>
      </c>
      <c r="P81" s="73">
        <f t="shared" si="6"/>
        <v>2305.8000000000002</v>
      </c>
      <c r="Q81" s="315">
        <f t="shared" si="7"/>
        <v>19794.199999999997</v>
      </c>
      <c r="R81" s="34"/>
    </row>
    <row r="82" spans="1:18" ht="35.1" customHeight="1" x14ac:dyDescent="0.25">
      <c r="A82" s="352"/>
      <c r="B82" s="327"/>
      <c r="C82" s="51"/>
      <c r="D82" s="338" t="s">
        <v>18</v>
      </c>
      <c r="E82" s="338" t="s">
        <v>391</v>
      </c>
      <c r="F82" s="353" t="s">
        <v>422</v>
      </c>
      <c r="G82" s="350">
        <v>611</v>
      </c>
      <c r="H82" s="73"/>
      <c r="I82" s="73"/>
      <c r="J82" s="73"/>
      <c r="K82" s="73">
        <v>111.3</v>
      </c>
      <c r="L82" s="73">
        <v>106.9</v>
      </c>
      <c r="M82" s="73">
        <v>105.5</v>
      </c>
      <c r="N82" s="73">
        <v>39.299999999999997</v>
      </c>
      <c r="O82" s="73">
        <v>39.299999999999997</v>
      </c>
      <c r="P82" s="73">
        <f t="shared" si="6"/>
        <v>39.299999999999997</v>
      </c>
      <c r="Q82" s="315">
        <f t="shared" si="7"/>
        <v>441.6</v>
      </c>
      <c r="R82" s="34"/>
    </row>
    <row r="83" spans="1:18" ht="35.1" customHeight="1" x14ac:dyDescent="0.25">
      <c r="A83" s="352"/>
      <c r="B83" s="327"/>
      <c r="C83" s="51"/>
      <c r="D83" s="338" t="s">
        <v>18</v>
      </c>
      <c r="E83" s="338" t="s">
        <v>391</v>
      </c>
      <c r="F83" s="353" t="s">
        <v>423</v>
      </c>
      <c r="G83" s="350">
        <v>611</v>
      </c>
      <c r="H83" s="73">
        <v>0</v>
      </c>
      <c r="I83" s="73">
        <v>0</v>
      </c>
      <c r="J83" s="73">
        <v>0</v>
      </c>
      <c r="K83" s="73">
        <v>547.79999999999995</v>
      </c>
      <c r="L83" s="73">
        <v>0</v>
      </c>
      <c r="M83" s="73">
        <v>0</v>
      </c>
      <c r="N83" s="73">
        <v>0</v>
      </c>
      <c r="O83" s="73">
        <v>0</v>
      </c>
      <c r="P83" s="73">
        <f t="shared" si="6"/>
        <v>0</v>
      </c>
      <c r="Q83" s="315">
        <f t="shared" si="7"/>
        <v>547.79999999999995</v>
      </c>
      <c r="R83" s="34"/>
    </row>
    <row r="84" spans="1:18" ht="35.1" customHeight="1" x14ac:dyDescent="0.25">
      <c r="A84" s="352"/>
      <c r="B84" s="329"/>
      <c r="C84" s="51"/>
      <c r="D84" s="338" t="s">
        <v>18</v>
      </c>
      <c r="E84" s="338" t="s">
        <v>391</v>
      </c>
      <c r="F84" s="353" t="s">
        <v>424</v>
      </c>
      <c r="G84" s="350">
        <v>611</v>
      </c>
      <c r="H84" s="73"/>
      <c r="I84" s="73"/>
      <c r="J84" s="73"/>
      <c r="K84" s="73"/>
      <c r="L84" s="73">
        <v>1204.5</v>
      </c>
      <c r="M84" s="73">
        <v>1690.6</v>
      </c>
      <c r="N84" s="73"/>
      <c r="O84" s="73"/>
      <c r="P84" s="73">
        <f t="shared" si="6"/>
        <v>0</v>
      </c>
      <c r="Q84" s="315">
        <f t="shared" si="7"/>
        <v>2895.1</v>
      </c>
      <c r="R84" s="34"/>
    </row>
    <row r="85" spans="1:18" ht="35.1" customHeight="1" x14ac:dyDescent="0.25">
      <c r="A85" s="352"/>
      <c r="B85" s="329"/>
      <c r="C85" s="51"/>
      <c r="D85" s="338" t="s">
        <v>18</v>
      </c>
      <c r="E85" s="338" t="s">
        <v>391</v>
      </c>
      <c r="F85" s="320" t="s">
        <v>395</v>
      </c>
      <c r="G85" s="350">
        <v>611</v>
      </c>
      <c r="H85" s="73"/>
      <c r="I85" s="73"/>
      <c r="J85" s="73"/>
      <c r="K85" s="73"/>
      <c r="L85" s="73">
        <v>689.2</v>
      </c>
      <c r="M85" s="73">
        <v>97.3</v>
      </c>
      <c r="N85" s="73"/>
      <c r="O85" s="73"/>
      <c r="P85" s="73">
        <f t="shared" si="6"/>
        <v>0</v>
      </c>
      <c r="Q85" s="315">
        <f t="shared" si="7"/>
        <v>786.5</v>
      </c>
      <c r="R85" s="34"/>
    </row>
    <row r="86" spans="1:18" ht="35.1" customHeight="1" x14ac:dyDescent="0.25">
      <c r="A86" s="352"/>
      <c r="B86" s="329"/>
      <c r="C86" s="51"/>
      <c r="D86" s="338" t="s">
        <v>18</v>
      </c>
      <c r="E86" s="338" t="s">
        <v>391</v>
      </c>
      <c r="F86" s="353" t="s">
        <v>425</v>
      </c>
      <c r="G86" s="350">
        <v>612</v>
      </c>
      <c r="H86" s="73"/>
      <c r="I86" s="73"/>
      <c r="J86" s="73"/>
      <c r="K86" s="73"/>
      <c r="L86" s="73">
        <v>1000</v>
      </c>
      <c r="M86" s="73"/>
      <c r="N86" s="73"/>
      <c r="O86" s="73"/>
      <c r="P86" s="73">
        <f t="shared" si="6"/>
        <v>0</v>
      </c>
      <c r="Q86" s="315">
        <f t="shared" si="7"/>
        <v>1000</v>
      </c>
      <c r="R86" s="34"/>
    </row>
    <row r="87" spans="1:18" ht="35.1" customHeight="1" x14ac:dyDescent="0.25">
      <c r="A87" s="352"/>
      <c r="B87" s="329"/>
      <c r="C87" s="51"/>
      <c r="D87" s="338" t="s">
        <v>18</v>
      </c>
      <c r="E87" s="338" t="s">
        <v>391</v>
      </c>
      <c r="F87" s="353" t="s">
        <v>426</v>
      </c>
      <c r="G87" s="350">
        <v>612</v>
      </c>
      <c r="H87" s="73"/>
      <c r="I87" s="73"/>
      <c r="J87" s="73"/>
      <c r="K87" s="73"/>
      <c r="L87" s="73">
        <v>50</v>
      </c>
      <c r="M87" s="73"/>
      <c r="N87" s="73"/>
      <c r="O87" s="73"/>
      <c r="P87" s="73">
        <f t="shared" si="6"/>
        <v>0</v>
      </c>
      <c r="Q87" s="315">
        <f t="shared" si="7"/>
        <v>50</v>
      </c>
      <c r="R87" s="34"/>
    </row>
    <row r="88" spans="1:18" ht="35.1" customHeight="1" x14ac:dyDescent="0.25">
      <c r="A88" s="352"/>
      <c r="B88" s="329"/>
      <c r="C88" s="51"/>
      <c r="D88" s="338" t="s">
        <v>18</v>
      </c>
      <c r="E88" s="338" t="s">
        <v>391</v>
      </c>
      <c r="F88" s="353" t="s">
        <v>396</v>
      </c>
      <c r="G88" s="350">
        <v>611</v>
      </c>
      <c r="H88" s="73"/>
      <c r="I88" s="73"/>
      <c r="J88" s="73"/>
      <c r="K88" s="73"/>
      <c r="L88" s="73"/>
      <c r="M88" s="73">
        <v>94.7</v>
      </c>
      <c r="N88" s="73"/>
      <c r="O88" s="73"/>
      <c r="P88" s="73"/>
      <c r="Q88" s="315"/>
      <c r="R88" s="34"/>
    </row>
    <row r="89" spans="1:18" ht="35.1" customHeight="1" x14ac:dyDescent="0.25">
      <c r="A89" s="352"/>
      <c r="B89" s="329"/>
      <c r="C89" s="51"/>
      <c r="D89" s="338" t="s">
        <v>18</v>
      </c>
      <c r="E89" s="338" t="s">
        <v>391</v>
      </c>
      <c r="F89" s="353" t="s">
        <v>427</v>
      </c>
      <c r="G89" s="350">
        <v>611</v>
      </c>
      <c r="H89" s="73"/>
      <c r="I89" s="73"/>
      <c r="J89" s="73"/>
      <c r="K89" s="73"/>
      <c r="L89" s="73"/>
      <c r="M89" s="73">
        <v>75.8</v>
      </c>
      <c r="N89" s="73"/>
      <c r="O89" s="73"/>
      <c r="P89" s="73"/>
      <c r="Q89" s="315"/>
      <c r="R89" s="34"/>
    </row>
    <row r="90" spans="1:18" ht="51.75" customHeight="1" x14ac:dyDescent="0.25">
      <c r="A90" s="352"/>
      <c r="B90" s="329" t="s">
        <v>428</v>
      </c>
      <c r="C90" s="51"/>
      <c r="D90" s="338" t="s">
        <v>18</v>
      </c>
      <c r="E90" s="338" t="s">
        <v>391</v>
      </c>
      <c r="F90" s="338" t="s">
        <v>15</v>
      </c>
      <c r="G90" s="31" t="s">
        <v>15</v>
      </c>
      <c r="H90" s="73">
        <f>959+71.4+16.6</f>
        <v>1047</v>
      </c>
      <c r="I90" s="73">
        <v>1619.2</v>
      </c>
      <c r="J90" s="73">
        <v>1279</v>
      </c>
      <c r="K90" s="73">
        <v>1279</v>
      </c>
      <c r="L90" s="73">
        <f>2009.3+22</f>
        <v>2031.3</v>
      </c>
      <c r="M90" s="73">
        <f>21.8+1091.4</f>
        <v>1113.2</v>
      </c>
      <c r="N90" s="73">
        <f>21.8+1091.4</f>
        <v>1113.2</v>
      </c>
      <c r="O90" s="73">
        <f>21.8+1091.4</f>
        <v>1113.2</v>
      </c>
      <c r="P90" s="73">
        <f t="shared" si="6"/>
        <v>1113.2</v>
      </c>
      <c r="Q90" s="315">
        <f t="shared" si="7"/>
        <v>11708.300000000003</v>
      </c>
      <c r="R90" s="34"/>
    </row>
    <row r="91" spans="1:18" ht="68.45" customHeight="1" x14ac:dyDescent="0.25">
      <c r="A91" s="354" t="s">
        <v>429</v>
      </c>
      <c r="B91" s="355" t="s">
        <v>430</v>
      </c>
      <c r="C91" s="356" t="s">
        <v>431</v>
      </c>
      <c r="D91" s="357" t="s">
        <v>18</v>
      </c>
      <c r="E91" s="357" t="s">
        <v>349</v>
      </c>
      <c r="F91" s="357" t="s">
        <v>420</v>
      </c>
      <c r="G91" s="358">
        <v>612</v>
      </c>
      <c r="H91" s="72"/>
      <c r="I91" s="72">
        <v>49.6</v>
      </c>
      <c r="J91" s="72">
        <v>63.5</v>
      </c>
      <c r="K91" s="359"/>
      <c r="L91" s="359"/>
      <c r="M91" s="359"/>
      <c r="N91" s="359"/>
      <c r="O91" s="359"/>
      <c r="P91" s="73">
        <f t="shared" si="6"/>
        <v>0</v>
      </c>
      <c r="Q91" s="315">
        <f t="shared" si="7"/>
        <v>113.1</v>
      </c>
      <c r="R91" s="355" t="s">
        <v>432</v>
      </c>
    </row>
    <row r="92" spans="1:18" ht="61.5" customHeight="1" x14ac:dyDescent="0.25">
      <c r="A92" s="354"/>
      <c r="B92" s="355"/>
      <c r="C92" s="356"/>
      <c r="D92" s="357" t="s">
        <v>18</v>
      </c>
      <c r="E92" s="357" t="s">
        <v>349</v>
      </c>
      <c r="F92" s="357" t="s">
        <v>420</v>
      </c>
      <c r="G92" s="358">
        <v>244</v>
      </c>
      <c r="H92" s="72">
        <v>59.6</v>
      </c>
      <c r="I92" s="72">
        <v>10</v>
      </c>
      <c r="J92" s="72">
        <v>10</v>
      </c>
      <c r="K92" s="359"/>
      <c r="L92" s="359"/>
      <c r="M92" s="359"/>
      <c r="N92" s="359"/>
      <c r="O92" s="359"/>
      <c r="P92" s="73">
        <f t="shared" si="6"/>
        <v>0</v>
      </c>
      <c r="Q92" s="315">
        <f t="shared" si="7"/>
        <v>79.599999999999994</v>
      </c>
      <c r="R92" s="355"/>
    </row>
    <row r="93" spans="1:18" ht="42.75" customHeight="1" x14ac:dyDescent="0.25">
      <c r="A93" s="360" t="s">
        <v>433</v>
      </c>
      <c r="B93" s="355" t="s">
        <v>434</v>
      </c>
      <c r="C93" s="356" t="s">
        <v>17</v>
      </c>
      <c r="D93" s="357" t="s">
        <v>18</v>
      </c>
      <c r="E93" s="357" t="s">
        <v>315</v>
      </c>
      <c r="F93" s="357" t="s">
        <v>435</v>
      </c>
      <c r="G93" s="358">
        <v>244</v>
      </c>
      <c r="H93" s="72">
        <v>31.4</v>
      </c>
      <c r="I93" s="72"/>
      <c r="J93" s="72"/>
      <c r="K93" s="73"/>
      <c r="L93" s="73"/>
      <c r="M93" s="73"/>
      <c r="N93" s="73"/>
      <c r="O93" s="73"/>
      <c r="P93" s="73">
        <f t="shared" si="6"/>
        <v>0</v>
      </c>
      <c r="Q93" s="315">
        <f t="shared" si="7"/>
        <v>31.4</v>
      </c>
      <c r="R93" s="355" t="s">
        <v>436</v>
      </c>
    </row>
    <row r="94" spans="1:18" ht="25.15" customHeight="1" x14ac:dyDescent="0.25">
      <c r="A94" s="360"/>
      <c r="B94" s="355"/>
      <c r="C94" s="356"/>
      <c r="D94" s="357" t="s">
        <v>18</v>
      </c>
      <c r="E94" s="357" t="s">
        <v>349</v>
      </c>
      <c r="F94" s="357" t="s">
        <v>420</v>
      </c>
      <c r="G94" s="358">
        <v>612</v>
      </c>
      <c r="H94" s="72">
        <v>16</v>
      </c>
      <c r="I94" s="72">
        <v>47.1</v>
      </c>
      <c r="J94" s="72">
        <v>72.5</v>
      </c>
      <c r="K94" s="359"/>
      <c r="L94" s="359"/>
      <c r="M94" s="359"/>
      <c r="N94" s="359"/>
      <c r="O94" s="359"/>
      <c r="P94" s="73">
        <f t="shared" si="6"/>
        <v>0</v>
      </c>
      <c r="Q94" s="315">
        <f t="shared" si="7"/>
        <v>135.6</v>
      </c>
      <c r="R94" s="355"/>
    </row>
    <row r="95" spans="1:18" ht="60.75" hidden="1" customHeight="1" x14ac:dyDescent="0.25">
      <c r="A95" s="361" t="s">
        <v>437</v>
      </c>
      <c r="B95" s="362" t="s">
        <v>438</v>
      </c>
      <c r="C95" s="358" t="s">
        <v>17</v>
      </c>
      <c r="D95" s="357">
        <v>975</v>
      </c>
      <c r="E95" s="357" t="s">
        <v>402</v>
      </c>
      <c r="F95" s="357" t="s">
        <v>15</v>
      </c>
      <c r="G95" s="363" t="s">
        <v>15</v>
      </c>
      <c r="H95" s="364">
        <v>0</v>
      </c>
      <c r="I95" s="364">
        <v>0</v>
      </c>
      <c r="J95" s="364">
        <v>0</v>
      </c>
      <c r="K95" s="73"/>
      <c r="L95" s="73"/>
      <c r="M95" s="73"/>
      <c r="N95" s="73"/>
      <c r="O95" s="73"/>
      <c r="P95" s="73">
        <f t="shared" si="6"/>
        <v>0</v>
      </c>
      <c r="Q95" s="315">
        <f t="shared" si="7"/>
        <v>0</v>
      </c>
      <c r="R95" s="362" t="s">
        <v>439</v>
      </c>
    </row>
    <row r="96" spans="1:18" ht="102.75" hidden="1" customHeight="1" x14ac:dyDescent="0.25">
      <c r="A96" s="361"/>
      <c r="B96" s="362"/>
      <c r="C96" s="358" t="s">
        <v>440</v>
      </c>
      <c r="D96" s="357">
        <v>964</v>
      </c>
      <c r="E96" s="357" t="s">
        <v>402</v>
      </c>
      <c r="F96" s="357" t="s">
        <v>15</v>
      </c>
      <c r="G96" s="365" t="s">
        <v>15</v>
      </c>
      <c r="H96" s="364">
        <v>0</v>
      </c>
      <c r="I96" s="364">
        <v>0</v>
      </c>
      <c r="J96" s="364">
        <v>0</v>
      </c>
      <c r="K96" s="73"/>
      <c r="L96" s="73"/>
      <c r="M96" s="73"/>
      <c r="N96" s="73"/>
      <c r="O96" s="73"/>
      <c r="P96" s="73">
        <f t="shared" si="6"/>
        <v>0</v>
      </c>
      <c r="Q96" s="315">
        <f t="shared" si="7"/>
        <v>0</v>
      </c>
      <c r="R96" s="362"/>
    </row>
    <row r="97" spans="1:18" ht="70.5" hidden="1" customHeight="1" x14ac:dyDescent="0.25">
      <c r="A97" s="361"/>
      <c r="B97" s="362"/>
      <c r="C97" s="358" t="s">
        <v>441</v>
      </c>
      <c r="D97" s="357">
        <v>956</v>
      </c>
      <c r="E97" s="357" t="s">
        <v>442</v>
      </c>
      <c r="F97" s="357" t="s">
        <v>15</v>
      </c>
      <c r="G97" s="365" t="s">
        <v>15</v>
      </c>
      <c r="H97" s="364">
        <v>0</v>
      </c>
      <c r="I97" s="364">
        <v>0</v>
      </c>
      <c r="J97" s="364">
        <v>0</v>
      </c>
      <c r="K97" s="73"/>
      <c r="L97" s="73"/>
      <c r="M97" s="73"/>
      <c r="N97" s="73"/>
      <c r="O97" s="73"/>
      <c r="P97" s="73">
        <f t="shared" si="6"/>
        <v>0</v>
      </c>
      <c r="Q97" s="315">
        <f t="shared" si="7"/>
        <v>0</v>
      </c>
      <c r="R97" s="362"/>
    </row>
    <row r="98" spans="1:18" ht="66" customHeight="1" x14ac:dyDescent="0.25">
      <c r="A98" s="366" t="s">
        <v>437</v>
      </c>
      <c r="B98" s="358" t="s">
        <v>443</v>
      </c>
      <c r="C98" s="358" t="s">
        <v>444</v>
      </c>
      <c r="D98" s="357" t="s">
        <v>18</v>
      </c>
      <c r="E98" s="357" t="s">
        <v>315</v>
      </c>
      <c r="F98" s="357" t="s">
        <v>435</v>
      </c>
      <c r="G98" s="367" t="s">
        <v>445</v>
      </c>
      <c r="H98" s="72">
        <v>114.4</v>
      </c>
      <c r="I98" s="72">
        <v>166.8</v>
      </c>
      <c r="J98" s="72">
        <v>0</v>
      </c>
      <c r="K98" s="359"/>
      <c r="L98" s="359"/>
      <c r="M98" s="359"/>
      <c r="N98" s="359"/>
      <c r="O98" s="359"/>
      <c r="P98" s="73">
        <f t="shared" si="6"/>
        <v>0</v>
      </c>
      <c r="Q98" s="315">
        <f t="shared" si="7"/>
        <v>281.20000000000005</v>
      </c>
      <c r="R98" s="358" t="s">
        <v>446</v>
      </c>
    </row>
    <row r="99" spans="1:18" ht="50.45" customHeight="1" x14ac:dyDescent="0.25">
      <c r="A99" s="366" t="s">
        <v>447</v>
      </c>
      <c r="B99" s="358" t="s">
        <v>448</v>
      </c>
      <c r="C99" s="358" t="s">
        <v>17</v>
      </c>
      <c r="D99" s="357" t="s">
        <v>18</v>
      </c>
      <c r="E99" s="357" t="s">
        <v>349</v>
      </c>
      <c r="F99" s="357" t="s">
        <v>449</v>
      </c>
      <c r="G99" s="368">
        <v>612</v>
      </c>
      <c r="H99" s="72">
        <v>5</v>
      </c>
      <c r="I99" s="72"/>
      <c r="J99" s="73"/>
      <c r="K99" s="73"/>
      <c r="L99" s="72"/>
      <c r="M99" s="73"/>
      <c r="N99" s="73"/>
      <c r="O99" s="72"/>
      <c r="P99" s="73">
        <f t="shared" si="6"/>
        <v>0</v>
      </c>
      <c r="Q99" s="315">
        <f t="shared" si="7"/>
        <v>5</v>
      </c>
      <c r="R99" s="369"/>
    </row>
    <row r="100" spans="1:18" ht="35.1" customHeight="1" x14ac:dyDescent="0.3">
      <c r="A100" s="370" t="s">
        <v>450</v>
      </c>
      <c r="B100" s="370"/>
      <c r="C100" s="371"/>
      <c r="D100" s="371"/>
      <c r="E100" s="371"/>
      <c r="F100" s="371"/>
      <c r="G100" s="371"/>
      <c r="H100" s="372">
        <f t="shared" ref="H100:M100" si="8">SUM(H79:H99)</f>
        <v>24540.200000000004</v>
      </c>
      <c r="I100" s="372">
        <f t="shared" si="8"/>
        <v>27318.799999999996</v>
      </c>
      <c r="J100" s="373">
        <f t="shared" si="8"/>
        <v>37615.9</v>
      </c>
      <c r="K100" s="373">
        <f t="shared" si="8"/>
        <v>34566.200000000004</v>
      </c>
      <c r="L100" s="373">
        <f t="shared" si="8"/>
        <v>32389.600000000002</v>
      </c>
      <c r="M100" s="373">
        <f t="shared" si="8"/>
        <v>33351.5</v>
      </c>
      <c r="N100" s="373">
        <f>SUM(N79:N99)</f>
        <v>26500.7</v>
      </c>
      <c r="O100" s="373">
        <f>SUM(O79:O99)</f>
        <v>26500.7</v>
      </c>
      <c r="P100" s="73">
        <f t="shared" si="6"/>
        <v>26500.7</v>
      </c>
      <c r="Q100" s="315">
        <f t="shared" si="7"/>
        <v>269284.30000000005</v>
      </c>
      <c r="R100" s="374"/>
    </row>
    <row r="101" spans="1:18" s="377" customFormat="1" ht="35.1" customHeight="1" x14ac:dyDescent="0.3">
      <c r="A101" s="370" t="s">
        <v>451</v>
      </c>
      <c r="B101" s="370"/>
      <c r="C101" s="375"/>
      <c r="D101" s="375"/>
      <c r="E101" s="375"/>
      <c r="F101" s="375"/>
      <c r="G101" s="375"/>
      <c r="H101" s="373">
        <f t="shared" ref="H101:O101" si="9">H100+H77+H29</f>
        <v>214621.90000000005</v>
      </c>
      <c r="I101" s="373">
        <f t="shared" si="9"/>
        <v>231479.1</v>
      </c>
      <c r="J101" s="373">
        <f t="shared" si="9"/>
        <v>252889.60000000001</v>
      </c>
      <c r="K101" s="373">
        <f t="shared" si="9"/>
        <v>262736.60000000003</v>
      </c>
      <c r="L101" s="373">
        <f t="shared" si="9"/>
        <v>275850</v>
      </c>
      <c r="M101" s="373">
        <f t="shared" si="9"/>
        <v>286761.99999999994</v>
      </c>
      <c r="N101" s="373">
        <f t="shared" si="9"/>
        <v>230247.59999999998</v>
      </c>
      <c r="O101" s="373">
        <f t="shared" si="9"/>
        <v>230247.59999999998</v>
      </c>
      <c r="P101" s="73">
        <f t="shared" si="6"/>
        <v>230247.59999999998</v>
      </c>
      <c r="Q101" s="315">
        <f t="shared" si="7"/>
        <v>2215082.0000000005</v>
      </c>
      <c r="R101" s="376"/>
    </row>
    <row r="102" spans="1:18" s="377" customFormat="1" ht="35.1" customHeight="1" x14ac:dyDescent="0.3">
      <c r="A102" s="370" t="s">
        <v>320</v>
      </c>
      <c r="B102" s="370"/>
      <c r="C102" s="375"/>
      <c r="D102" s="375"/>
      <c r="E102" s="375"/>
      <c r="F102" s="375"/>
      <c r="G102" s="375"/>
      <c r="H102" s="373">
        <f>H7+H11+H12+H20+H21+H24+H26+H48+H49+H50+H52+H53+H55+H57+H58+H59+H60+H62+H68+H69</f>
        <v>109406.90000000001</v>
      </c>
      <c r="I102" s="373">
        <f>I7+I11+I12+I20+I21+I24+I26+I48+I49+I50+I52+I53+I55+I57+I58+I59+I60+I62+I68+I69</f>
        <v>113565.79999999999</v>
      </c>
      <c r="J102" s="373">
        <f>J7+J11+J12+J20+J21+J22+J23+J24+J26+J48+J49+J50+J52+J53+J55+J57+J58+J59+J60+J62+J68+J69</f>
        <v>149314.1</v>
      </c>
      <c r="K102" s="373">
        <f>K7+K11+K12+K20+K21+K24+K26+K48+K49+K50+K52+K53+K55+K57+K58+K59+K60+K61+K62+K68+K69+K56</f>
        <v>163921.20000000001</v>
      </c>
      <c r="L102" s="373">
        <f>L7+L11+L12+L20+L21+L24+L26+L48+L49+L50+L52+L53+L55+L57+L58+L59+L60+L61+L62+L68+L69+L85+L84+L67+L64+L63+L86+L17</f>
        <v>178896.09999999998</v>
      </c>
      <c r="M102" s="373">
        <f>M7+M11+M12+M20+M21+M24+M26+M48+M49+M50+M52+M53+M55+M57+M58+M59+M60+M61+M62+M68+M69+M51+M54+M84+M15+M17+M89+M85+M63+M64+M65+M66+M88</f>
        <v>185609.99999999997</v>
      </c>
      <c r="N102" s="373">
        <f>N7+N11+N12+N20+N21+N24+N26+N48+N49+N50+N52+N53+N55+N57+N58+N59+N60+N61+N62+N68+N69</f>
        <v>169171.99999999997</v>
      </c>
      <c r="O102" s="373">
        <f>O7+O11+O12+O20+O21+O24+O26+O48+O49+O50+O52+O53+O55+O57+O58+O59+O60+O61+O62+O68+O69</f>
        <v>169171.99999999997</v>
      </c>
      <c r="P102" s="73">
        <f t="shared" si="6"/>
        <v>169171.99999999997</v>
      </c>
      <c r="Q102" s="315">
        <f t="shared" si="7"/>
        <v>1408230.0999999999</v>
      </c>
      <c r="R102" s="376"/>
    </row>
    <row r="103" spans="1:18" s="377" customFormat="1" ht="35.1" customHeight="1" x14ac:dyDescent="0.3">
      <c r="A103" s="370" t="s">
        <v>321</v>
      </c>
      <c r="B103" s="370"/>
      <c r="C103" s="375"/>
      <c r="D103" s="375"/>
      <c r="E103" s="375"/>
      <c r="F103" s="375"/>
      <c r="G103" s="375"/>
      <c r="H103" s="373">
        <f>H8+H9+H13+H14+H25+H27+H28+H31+H32+H33+H34+H35+H36+H37+H38+H39+H40+H41+H42+H43+H44+H45+H46+H47+H75+H79+H80+H81+H82+H83+H98+H99+H92+H93+H94+H91</f>
        <v>103390.39999999999</v>
      </c>
      <c r="I103" s="373">
        <f>I8+I9+I13+I14+I25+I27+I28+I31+I32+I33+I34+I35+I36+I37+I38+I39+I40+I41+I42+I43+I44+I45+I46+I47+I75+I79+I80+I81+I82+I83+I98+I99+I92+I93+I94+I91</f>
        <v>115762.00000000001</v>
      </c>
      <c r="J103" s="373">
        <f>J8+J9+J13+J14+J25+J27+J28+J31+J32+J33+J34+J35+J36+J37+J38+J39+J40+J41+J42+J43+J44+J45+J46+J47+J75+J79+J80+J81+J82+J83+J98+J99+J92+J93+J94+J91</f>
        <v>101282.7</v>
      </c>
      <c r="K103" s="373">
        <f>K8+K9+K13+K14+K25+K27+K28+K31+K32+K33+K34+K35+K36+K37+K38+K39+K40+K41+K42+K43+K44+K45+K46+K47+K75+K79+K80+K81+K82+K83+K98+K99+K92+K93+K94+K91+K73</f>
        <v>96522.60000000002</v>
      </c>
      <c r="L103" s="373">
        <f>L8+L9+L13+L14+L25+L27+L28+L31+L32+L33+L34+L35+L36+L37+L38+L39+L40+L41+L42+L43+L44+L45+L46+L47+L75+L79+L80+L81+L82+L83+L98+L99+L92+L93+L94+L91+L73+L18+L87+L10</f>
        <v>93843.599999999991</v>
      </c>
      <c r="M103" s="373">
        <f>M8+M9+M13+M14+M25+M27+M28+M31+M32+M33+M34+M35+M36+M37+M38+M39+M40+M41+M42+M43+M44+M45+M46+M47+M75+M79+M80+M81+M82+M83+M98+M99+M92+M93+M94+M91+M73+M16+M18+M19</f>
        <v>98538.3</v>
      </c>
      <c r="N103" s="373">
        <f>N8+N9+N13+N14+N25+N27+N28+N31+N32+N33+N34+N35+N36+N37+N38+N39+N40+N41+N42+N43+N44+N45+N46+N47+N75+N79+N80+N81+N82+N83+N98+N99+N92+N93+N94+N91+N73</f>
        <v>58461.900000000009</v>
      </c>
      <c r="O103" s="373">
        <f>O8+O9+O13+O14+O25+O27+O28+O31+O32+O33+O34+O35+O36+O37+O38+O39+O40+O41+O42+O43+O44+O45+O46+O47+O75+O79+O80+O81+O82+O83+O98+O99+O92+O93+O94+O91+O73</f>
        <v>58461.900000000009</v>
      </c>
      <c r="P103" s="73">
        <f t="shared" si="6"/>
        <v>58461.900000000009</v>
      </c>
      <c r="Q103" s="315">
        <f t="shared" si="7"/>
        <v>784725.30000000016</v>
      </c>
      <c r="R103" s="376"/>
    </row>
    <row r="104" spans="1:18" s="377" customFormat="1" ht="25.15" customHeight="1" x14ac:dyDescent="0.3">
      <c r="A104" s="370" t="s">
        <v>322</v>
      </c>
      <c r="B104" s="370"/>
      <c r="C104" s="378"/>
      <c r="D104" s="375"/>
      <c r="E104" s="375"/>
      <c r="F104" s="375"/>
      <c r="G104" s="375"/>
      <c r="H104" s="372">
        <f t="shared" ref="H104:M104" si="10">H70+H90</f>
        <v>1824.6</v>
      </c>
      <c r="I104" s="372">
        <f t="shared" si="10"/>
        <v>2151.3000000000002</v>
      </c>
      <c r="J104" s="373">
        <f t="shared" si="10"/>
        <v>2292.8000000000002</v>
      </c>
      <c r="K104" s="373">
        <f>K70+K90</f>
        <v>2292.8000000000002</v>
      </c>
      <c r="L104" s="373">
        <f>L70+L90</f>
        <v>3110.3</v>
      </c>
      <c r="M104" s="373">
        <f t="shared" si="10"/>
        <v>2613.6999999999998</v>
      </c>
      <c r="N104" s="373">
        <f>N70+N90</f>
        <v>2613.6999999999998</v>
      </c>
      <c r="O104" s="373">
        <f>O70+O90</f>
        <v>2613.6999999999998</v>
      </c>
      <c r="P104" s="73">
        <f t="shared" si="6"/>
        <v>2613.6999999999998</v>
      </c>
      <c r="Q104" s="315">
        <f t="shared" si="7"/>
        <v>22126.600000000002</v>
      </c>
      <c r="R104" s="376"/>
    </row>
    <row r="105" spans="1:18" ht="26.45" customHeight="1" x14ac:dyDescent="0.3">
      <c r="A105" s="379" t="s">
        <v>452</v>
      </c>
      <c r="B105" s="379"/>
      <c r="C105" s="379"/>
      <c r="D105" s="380"/>
      <c r="E105" s="380"/>
      <c r="F105" s="380"/>
      <c r="G105" s="380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2" t="s">
        <v>34</v>
      </c>
    </row>
    <row r="106" spans="1:18" ht="59.25" customHeight="1" x14ac:dyDescent="0.25">
      <c r="A106" s="290"/>
      <c r="B106" s="383"/>
      <c r="C106" s="292"/>
      <c r="D106" s="292"/>
      <c r="E106" s="292"/>
      <c r="F106" s="292"/>
      <c r="G106" s="292"/>
      <c r="H106" s="292"/>
    </row>
    <row r="107" spans="1:18" s="133" customFormat="1" ht="24.75" customHeight="1" x14ac:dyDescent="0.25">
      <c r="A107" s="290"/>
      <c r="B107" s="383"/>
      <c r="C107" s="292"/>
      <c r="D107" s="292"/>
      <c r="E107" s="292"/>
      <c r="F107" s="292"/>
      <c r="G107" s="292"/>
      <c r="H107" s="292"/>
      <c r="I107" s="54"/>
      <c r="J107" s="54"/>
      <c r="K107" s="54"/>
      <c r="L107" s="54"/>
      <c r="M107" s="54"/>
      <c r="N107" s="54"/>
      <c r="O107" s="54"/>
      <c r="P107" s="54"/>
      <c r="Q107" s="54"/>
      <c r="R107" s="54"/>
    </row>
    <row r="108" spans="1:18" ht="20.25" customHeight="1" x14ac:dyDescent="0.25">
      <c r="A108" s="290"/>
      <c r="B108" s="383"/>
      <c r="C108" s="292"/>
      <c r="D108" s="292"/>
      <c r="E108" s="292"/>
      <c r="F108" s="292"/>
      <c r="G108" s="292"/>
      <c r="H108" s="292"/>
    </row>
    <row r="109" spans="1:18" s="283" customFormat="1" x14ac:dyDescent="0.25">
      <c r="A109" s="290"/>
      <c r="B109" s="383"/>
      <c r="C109" s="292"/>
      <c r="D109" s="292"/>
      <c r="E109" s="292"/>
      <c r="F109" s="292"/>
      <c r="G109" s="292"/>
      <c r="H109" s="292"/>
      <c r="I109" s="54"/>
      <c r="J109" s="54"/>
      <c r="K109" s="54"/>
      <c r="L109" s="54"/>
      <c r="M109" s="54"/>
      <c r="N109" s="54"/>
      <c r="O109" s="54"/>
      <c r="P109" s="54"/>
      <c r="Q109" s="54"/>
      <c r="R109" s="54"/>
    </row>
    <row r="110" spans="1:18" s="179" customFormat="1" x14ac:dyDescent="0.25">
      <c r="A110" s="290"/>
      <c r="B110" s="383"/>
      <c r="C110" s="292"/>
      <c r="D110" s="292"/>
      <c r="E110" s="292"/>
      <c r="F110" s="292"/>
      <c r="G110" s="292"/>
      <c r="H110" s="292"/>
      <c r="I110" s="54"/>
      <c r="J110" s="54"/>
      <c r="K110" s="54"/>
      <c r="L110" s="54"/>
      <c r="M110" s="54"/>
      <c r="N110" s="54"/>
      <c r="O110" s="54"/>
      <c r="P110" s="54"/>
      <c r="Q110" s="54"/>
      <c r="R110" s="54"/>
    </row>
    <row r="111" spans="1:18" x14ac:dyDescent="0.25">
      <c r="A111" s="290"/>
      <c r="B111" s="383"/>
      <c r="C111" s="292"/>
      <c r="D111" s="292"/>
      <c r="E111" s="292"/>
      <c r="F111" s="292"/>
      <c r="G111" s="292"/>
      <c r="H111" s="292"/>
    </row>
    <row r="112" spans="1:18" x14ac:dyDescent="0.25">
      <c r="A112" s="290"/>
      <c r="B112" s="383"/>
      <c r="C112" s="292"/>
      <c r="D112" s="292"/>
      <c r="E112" s="292"/>
      <c r="F112" s="292"/>
      <c r="G112" s="292"/>
      <c r="H112" s="292"/>
    </row>
    <row r="113" spans="1:8" x14ac:dyDescent="0.25">
      <c r="A113" s="290"/>
      <c r="B113" s="383"/>
      <c r="C113" s="292"/>
      <c r="D113" s="292"/>
      <c r="E113" s="292"/>
      <c r="F113" s="292"/>
      <c r="G113" s="292"/>
      <c r="H113" s="292"/>
    </row>
    <row r="114" spans="1:8" x14ac:dyDescent="0.25">
      <c r="A114" s="290"/>
      <c r="B114" s="383"/>
      <c r="C114" s="292"/>
      <c r="D114" s="292"/>
      <c r="E114" s="292"/>
      <c r="F114" s="292"/>
      <c r="G114" s="292"/>
      <c r="H114" s="292"/>
    </row>
    <row r="115" spans="1:8" x14ac:dyDescent="0.25">
      <c r="A115" s="290"/>
      <c r="B115" s="383"/>
      <c r="C115" s="292"/>
      <c r="D115" s="292"/>
      <c r="E115" s="292"/>
      <c r="F115" s="292"/>
      <c r="G115" s="292"/>
      <c r="H115" s="292"/>
    </row>
    <row r="116" spans="1:8" x14ac:dyDescent="0.25">
      <c r="A116" s="290"/>
      <c r="B116" s="383"/>
      <c r="C116" s="292"/>
      <c r="D116" s="292"/>
      <c r="E116" s="292"/>
      <c r="F116" s="292"/>
      <c r="G116" s="292"/>
      <c r="H116" s="292"/>
    </row>
    <row r="117" spans="1:8" x14ac:dyDescent="0.25">
      <c r="A117" s="290"/>
      <c r="B117" s="383"/>
      <c r="C117" s="292"/>
      <c r="D117" s="292"/>
      <c r="E117" s="292"/>
      <c r="F117" s="292"/>
      <c r="G117" s="292"/>
      <c r="H117" s="292"/>
    </row>
    <row r="118" spans="1:8" x14ac:dyDescent="0.25">
      <c r="A118" s="290"/>
      <c r="B118" s="383"/>
      <c r="C118" s="292"/>
      <c r="D118" s="292"/>
      <c r="E118" s="292"/>
      <c r="F118" s="292"/>
      <c r="G118" s="292"/>
      <c r="H118" s="292"/>
    </row>
    <row r="119" spans="1:8" x14ac:dyDescent="0.25">
      <c r="A119" s="290"/>
      <c r="B119" s="383"/>
      <c r="C119" s="292"/>
      <c r="D119" s="292"/>
      <c r="E119" s="292"/>
      <c r="F119" s="292"/>
      <c r="G119" s="292"/>
      <c r="H119" s="292"/>
    </row>
    <row r="120" spans="1:8" x14ac:dyDescent="0.25">
      <c r="A120" s="290"/>
      <c r="B120" s="383"/>
      <c r="C120" s="292"/>
      <c r="D120" s="292"/>
      <c r="E120" s="292"/>
      <c r="F120" s="292"/>
      <c r="G120" s="292"/>
      <c r="H120" s="292"/>
    </row>
    <row r="121" spans="1:8" x14ac:dyDescent="0.25">
      <c r="A121" s="290"/>
      <c r="B121" s="383"/>
      <c r="C121" s="292"/>
      <c r="D121" s="292"/>
      <c r="E121" s="292"/>
      <c r="F121" s="292"/>
      <c r="G121" s="292"/>
      <c r="H121" s="292"/>
    </row>
    <row r="122" spans="1:8" x14ac:dyDescent="0.25">
      <c r="A122" s="290"/>
      <c r="B122" s="383"/>
      <c r="C122" s="292"/>
      <c r="D122" s="292"/>
      <c r="E122" s="292"/>
      <c r="F122" s="292"/>
      <c r="G122" s="292"/>
      <c r="H122" s="292"/>
    </row>
    <row r="123" spans="1:8" x14ac:dyDescent="0.25">
      <c r="A123" s="290"/>
      <c r="B123" s="383"/>
      <c r="C123" s="292"/>
      <c r="D123" s="292"/>
      <c r="E123" s="292"/>
      <c r="F123" s="292"/>
      <c r="G123" s="292"/>
      <c r="H123" s="292"/>
    </row>
    <row r="124" spans="1:8" x14ac:dyDescent="0.25">
      <c r="A124" s="290"/>
      <c r="B124" s="383"/>
      <c r="C124" s="292"/>
      <c r="D124" s="292"/>
      <c r="E124" s="292"/>
      <c r="F124" s="292"/>
      <c r="G124" s="292"/>
      <c r="H124" s="292"/>
    </row>
    <row r="125" spans="1:8" x14ac:dyDescent="0.25">
      <c r="A125" s="290"/>
      <c r="B125" s="383"/>
      <c r="C125" s="292"/>
      <c r="D125" s="292"/>
      <c r="E125" s="292"/>
      <c r="F125" s="292"/>
      <c r="G125" s="292"/>
      <c r="H125" s="292"/>
    </row>
    <row r="126" spans="1:8" x14ac:dyDescent="0.25">
      <c r="A126" s="290"/>
      <c r="B126" s="383"/>
      <c r="C126" s="292"/>
      <c r="D126" s="292"/>
      <c r="E126" s="292"/>
      <c r="F126" s="292"/>
      <c r="G126" s="292"/>
      <c r="H126" s="292"/>
    </row>
    <row r="127" spans="1:8" x14ac:dyDescent="0.25">
      <c r="A127" s="290"/>
      <c r="B127" s="383"/>
      <c r="C127" s="292"/>
      <c r="D127" s="292"/>
      <c r="E127" s="292"/>
      <c r="F127" s="292"/>
      <c r="G127" s="292"/>
      <c r="H127" s="292"/>
    </row>
    <row r="128" spans="1:8" x14ac:dyDescent="0.25">
      <c r="A128" s="290"/>
      <c r="B128" s="383"/>
      <c r="C128" s="292"/>
      <c r="D128" s="292"/>
      <c r="E128" s="292"/>
      <c r="F128" s="292"/>
      <c r="G128" s="292"/>
      <c r="H128" s="292"/>
    </row>
    <row r="129" spans="1:8" x14ac:dyDescent="0.25">
      <c r="A129" s="290"/>
      <c r="B129" s="383"/>
      <c r="C129" s="292"/>
      <c r="D129" s="292"/>
      <c r="E129" s="292"/>
      <c r="F129" s="292"/>
      <c r="G129" s="292"/>
      <c r="H129" s="292"/>
    </row>
    <row r="130" spans="1:8" x14ac:dyDescent="0.25">
      <c r="A130" s="290"/>
      <c r="B130" s="383"/>
      <c r="C130" s="292"/>
      <c r="D130" s="292"/>
      <c r="E130" s="292"/>
      <c r="F130" s="292"/>
      <c r="G130" s="292"/>
      <c r="H130" s="292"/>
    </row>
    <row r="131" spans="1:8" x14ac:dyDescent="0.25">
      <c r="A131" s="290"/>
      <c r="B131" s="383"/>
      <c r="C131" s="292"/>
      <c r="D131" s="292"/>
      <c r="E131" s="292"/>
      <c r="F131" s="292"/>
      <c r="G131" s="292"/>
      <c r="H131" s="292"/>
    </row>
    <row r="132" spans="1:8" x14ac:dyDescent="0.25">
      <c r="A132" s="290"/>
      <c r="B132" s="383"/>
      <c r="C132" s="292"/>
      <c r="D132" s="292"/>
      <c r="E132" s="292"/>
      <c r="F132" s="292"/>
      <c r="G132" s="292"/>
      <c r="H132" s="292"/>
    </row>
    <row r="133" spans="1:8" x14ac:dyDescent="0.25">
      <c r="A133" s="290"/>
      <c r="B133" s="383"/>
      <c r="C133" s="292"/>
      <c r="D133" s="292"/>
      <c r="E133" s="292"/>
      <c r="F133" s="292"/>
      <c r="G133" s="292"/>
      <c r="H133" s="292"/>
    </row>
    <row r="134" spans="1:8" x14ac:dyDescent="0.25">
      <c r="A134" s="290"/>
      <c r="B134" s="383"/>
      <c r="C134" s="292"/>
      <c r="D134" s="292"/>
      <c r="E134" s="292"/>
      <c r="F134" s="292"/>
      <c r="G134" s="292"/>
      <c r="H134" s="292"/>
    </row>
    <row r="135" spans="1:8" x14ac:dyDescent="0.25">
      <c r="A135" s="290"/>
      <c r="B135" s="383"/>
      <c r="C135" s="292"/>
      <c r="D135" s="292"/>
      <c r="E135" s="292"/>
      <c r="F135" s="292"/>
      <c r="G135" s="292"/>
      <c r="H135" s="292"/>
    </row>
    <row r="136" spans="1:8" x14ac:dyDescent="0.25">
      <c r="A136" s="290"/>
      <c r="B136" s="383"/>
      <c r="C136" s="292"/>
      <c r="D136" s="292"/>
      <c r="E136" s="292"/>
      <c r="F136" s="292"/>
      <c r="G136" s="292"/>
      <c r="H136" s="292"/>
    </row>
    <row r="137" spans="1:8" x14ac:dyDescent="0.25">
      <c r="A137" s="290"/>
      <c r="B137" s="383"/>
      <c r="C137" s="292"/>
      <c r="D137" s="292"/>
      <c r="E137" s="292"/>
      <c r="F137" s="292"/>
      <c r="G137" s="292"/>
      <c r="H137" s="292"/>
    </row>
    <row r="138" spans="1:8" x14ac:dyDescent="0.25">
      <c r="A138" s="290"/>
      <c r="B138" s="383"/>
      <c r="C138" s="292"/>
      <c r="D138" s="292"/>
      <c r="E138" s="292"/>
      <c r="F138" s="292"/>
      <c r="G138" s="292"/>
      <c r="H138" s="292"/>
    </row>
    <row r="139" spans="1:8" x14ac:dyDescent="0.25">
      <c r="A139" s="290"/>
      <c r="B139" s="383"/>
      <c r="C139" s="292"/>
      <c r="D139" s="292"/>
      <c r="E139" s="292"/>
      <c r="F139" s="292"/>
      <c r="G139" s="292"/>
      <c r="H139" s="292"/>
    </row>
    <row r="140" spans="1:8" x14ac:dyDescent="0.25">
      <c r="A140" s="290"/>
      <c r="B140" s="383"/>
      <c r="C140" s="292"/>
      <c r="D140" s="292"/>
      <c r="E140" s="292"/>
      <c r="F140" s="292"/>
      <c r="G140" s="292"/>
      <c r="H140" s="292"/>
    </row>
    <row r="141" spans="1:8" x14ac:dyDescent="0.25">
      <c r="A141" s="290"/>
      <c r="B141" s="383"/>
      <c r="C141" s="292"/>
      <c r="D141" s="292"/>
      <c r="E141" s="292"/>
      <c r="F141" s="292"/>
      <c r="G141" s="292"/>
      <c r="H141" s="292"/>
    </row>
    <row r="142" spans="1:8" x14ac:dyDescent="0.25">
      <c r="A142" s="290"/>
      <c r="B142" s="383"/>
      <c r="C142" s="292"/>
      <c r="D142" s="292"/>
      <c r="E142" s="292"/>
      <c r="F142" s="292"/>
      <c r="G142" s="292"/>
      <c r="H142" s="292"/>
    </row>
  </sheetData>
  <mergeCells count="55">
    <mergeCell ref="A100:B100"/>
    <mergeCell ref="A101:B101"/>
    <mergeCell ref="A102:B102"/>
    <mergeCell ref="A103:B103"/>
    <mergeCell ref="A104:B104"/>
    <mergeCell ref="A105:C105"/>
    <mergeCell ref="A93:A94"/>
    <mergeCell ref="B93:B94"/>
    <mergeCell ref="C93:C94"/>
    <mergeCell ref="R93:R94"/>
    <mergeCell ref="A95:A97"/>
    <mergeCell ref="B95:B97"/>
    <mergeCell ref="R95:R97"/>
    <mergeCell ref="A77:B77"/>
    <mergeCell ref="A79:A90"/>
    <mergeCell ref="B79:B83"/>
    <mergeCell ref="C79:C90"/>
    <mergeCell ref="R79:R90"/>
    <mergeCell ref="A91:A92"/>
    <mergeCell ref="B91:B92"/>
    <mergeCell ref="C91:C92"/>
    <mergeCell ref="R91:R92"/>
    <mergeCell ref="A29:B29"/>
    <mergeCell ref="A30:R30"/>
    <mergeCell ref="A31:A47"/>
    <mergeCell ref="B31:B47"/>
    <mergeCell ref="C31:C47"/>
    <mergeCell ref="R31:R70"/>
    <mergeCell ref="A48:A69"/>
    <mergeCell ref="B48:B69"/>
    <mergeCell ref="C48:C69"/>
    <mergeCell ref="A20:A23"/>
    <mergeCell ref="B20:B23"/>
    <mergeCell ref="C20:C23"/>
    <mergeCell ref="R20:R23"/>
    <mergeCell ref="R24:R25"/>
    <mergeCell ref="R26:R28"/>
    <mergeCell ref="A27:A28"/>
    <mergeCell ref="B27:B28"/>
    <mergeCell ref="C27:C28"/>
    <mergeCell ref="A5:R5"/>
    <mergeCell ref="A6:R6"/>
    <mergeCell ref="A8:A14"/>
    <mergeCell ref="B8:B19"/>
    <mergeCell ref="C8:C19"/>
    <mergeCell ref="R8:R19"/>
    <mergeCell ref="I1:J1"/>
    <mergeCell ref="O1:R1"/>
    <mergeCell ref="A2:Q2"/>
    <mergeCell ref="A3:A4"/>
    <mergeCell ref="B3:B4"/>
    <mergeCell ref="C3:C4"/>
    <mergeCell ref="D3:G3"/>
    <mergeCell ref="H3:Q3"/>
    <mergeCell ref="R3:R4"/>
  </mergeCells>
  <pageMargins left="0.51181102362204722" right="0.39370078740157483" top="0.55118110236220474" bottom="0.35433070866141736" header="0.31496062992125984" footer="0.31496062992125984"/>
  <pageSetup paperSize="9" scale="45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21</vt:i4>
      </vt:variant>
    </vt:vector>
  </HeadingPairs>
  <TitlesOfParts>
    <vt:vector size="34" baseType="lpstr">
      <vt:lpstr>Прил1 к МП</vt:lpstr>
      <vt:lpstr>Прил2 к МП</vt:lpstr>
      <vt:lpstr>Прил3 к МП</vt:lpstr>
      <vt:lpstr>Прил1 к папорту МП</vt:lpstr>
      <vt:lpstr>Прил2 к паспорту МП</vt:lpstr>
      <vt:lpstr>Прил1 к паспорту подпрог1</vt:lpstr>
      <vt:lpstr>Прил2 к паспорту подпрог1</vt:lpstr>
      <vt:lpstr>Прил1 к паспорту подпрог2</vt:lpstr>
      <vt:lpstr>Прил2 к паспорту подпрог2</vt:lpstr>
      <vt:lpstr>Прил1 к паспорту подпрог3</vt:lpstr>
      <vt:lpstr>Прил2 к паспорту подпрог3</vt:lpstr>
      <vt:lpstr>Прил1 к паспорту подпрог4</vt:lpstr>
      <vt:lpstr>Прил2 к паспорту подпрог4</vt:lpstr>
      <vt:lpstr>'Прил1 к папорту МП'!Заголовки_для_печати</vt:lpstr>
      <vt:lpstr>'Прил1 к паспорту подпрог1'!Заголовки_для_печати</vt:lpstr>
      <vt:lpstr>'Прил1 к паспорту подпрог2'!Заголовки_для_печати</vt:lpstr>
      <vt:lpstr>'Прил2 к МП'!Заголовки_для_печати</vt:lpstr>
      <vt:lpstr>'Прил2 к паспорту МП'!Заголовки_для_печати</vt:lpstr>
      <vt:lpstr>'Прил2 к паспорту подпрог1'!Заголовки_для_печати</vt:lpstr>
      <vt:lpstr>'Прил2 к паспорту подпрог2'!Заголовки_для_печати</vt:lpstr>
      <vt:lpstr>'Прил2 к паспорту подпрог3'!Заголовки_для_печати</vt:lpstr>
      <vt:lpstr>'Прил2 к паспорту подпрог4'!Заголовки_для_печати</vt:lpstr>
      <vt:lpstr>'Прил3 к МП'!Заголовки_для_печати</vt:lpstr>
      <vt:lpstr>'Прил1 к папорту МП'!Область_печати</vt:lpstr>
      <vt:lpstr>'Прил1 к паспорту подпрог1'!Область_печати</vt:lpstr>
      <vt:lpstr>'Прил1 к паспорту подпрог2'!Область_печати</vt:lpstr>
      <vt:lpstr>'Прил1 к паспорту подпрог3'!Область_печати</vt:lpstr>
      <vt:lpstr>'Прил1 к паспорту подпрог4'!Область_печати</vt:lpstr>
      <vt:lpstr>'Прил2 к МП'!Область_печати</vt:lpstr>
      <vt:lpstr>'Прил2 к паспорту МП'!Область_печати</vt:lpstr>
      <vt:lpstr>'Прил2 к паспорту подпрог2'!Область_печати</vt:lpstr>
      <vt:lpstr>'Прил2 к паспорту подпрог3'!Область_печати</vt:lpstr>
      <vt:lpstr>'Прил2 к паспорту подпрог4'!Область_печати</vt:lpstr>
      <vt:lpstr>'Прил3 к 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2019-12-31T04:07:20Z</dcterms:created>
  <dcterms:modified xsi:type="dcterms:W3CDTF">2019-12-31T04:18:43Z</dcterms:modified>
</cp:coreProperties>
</file>